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bigasa" sheetId="6" r:id="rId1"/>
    <sheet name="PLAN STD" sheetId="1" r:id="rId2"/>
    <sheet name="PLAN OPTINT" sheetId="7" r:id="rId3"/>
  </sheets>
  <calcPr calcId="144525"/>
</workbook>
</file>

<file path=xl/calcChain.xml><?xml version="1.0" encoding="utf-8"?>
<calcChain xmlns="http://schemas.openxmlformats.org/spreadsheetml/2006/main">
  <c r="J16" i="6" l="1"/>
  <c r="J18" i="6" s="1"/>
  <c r="U3184" i="7"/>
  <c r="V3184" i="7" s="1"/>
  <c r="T3182" i="7"/>
  <c r="Q3181" i="7"/>
  <c r="B3181" i="7"/>
  <c r="F3181" i="7" s="1"/>
  <c r="Q3180" i="7"/>
  <c r="F3180" i="7"/>
  <c r="Q3179" i="7"/>
  <c r="B3179" i="7"/>
  <c r="F3179" i="7" s="1"/>
  <c r="Q3178" i="7"/>
  <c r="G3177" i="7"/>
  <c r="F3177" i="7"/>
  <c r="S3176" i="7"/>
  <c r="G3173" i="7"/>
  <c r="F3173" i="7"/>
  <c r="E3173" i="7" s="1"/>
  <c r="E3172" i="7" s="1"/>
  <c r="B3170" i="7"/>
  <c r="B3171" i="7" s="1"/>
  <c r="F3169" i="7"/>
  <c r="B3168" i="7"/>
  <c r="H3160" i="7"/>
  <c r="U3150" i="7"/>
  <c r="V3150" i="7" s="1"/>
  <c r="Q3147" i="7"/>
  <c r="F3147" i="7"/>
  <c r="B3147" i="7"/>
  <c r="B3148" i="7" s="1"/>
  <c r="Q3146" i="7"/>
  <c r="F3146" i="7"/>
  <c r="Q3145" i="7"/>
  <c r="Q3148" i="7" s="1"/>
  <c r="P3150" i="7" s="1"/>
  <c r="B3145" i="7"/>
  <c r="F3145" i="7" s="1"/>
  <c r="Q3144" i="7"/>
  <c r="G3143" i="7"/>
  <c r="F3143" i="7"/>
  <c r="G3139" i="7"/>
  <c r="E3139" i="7" s="1"/>
  <c r="E3138" i="7" s="1"/>
  <c r="F3139" i="7"/>
  <c r="B3137" i="7"/>
  <c r="B3138" i="7" s="1"/>
  <c r="F3138" i="7" s="1"/>
  <c r="B3136" i="7"/>
  <c r="F3136" i="7" s="1"/>
  <c r="F3135" i="7"/>
  <c r="F3134" i="7"/>
  <c r="B3134" i="7"/>
  <c r="B3133" i="7"/>
  <c r="F3133" i="7" s="1"/>
  <c r="H3126" i="7"/>
  <c r="V3116" i="7"/>
  <c r="U3116" i="7"/>
  <c r="B3114" i="7"/>
  <c r="Q3113" i="7"/>
  <c r="F3113" i="7"/>
  <c r="B3113" i="7"/>
  <c r="Q3112" i="7"/>
  <c r="F3112" i="7"/>
  <c r="Q3111" i="7"/>
  <c r="B3111" i="7"/>
  <c r="F3111" i="7" s="1"/>
  <c r="Q3110" i="7"/>
  <c r="Q3114" i="7" s="1"/>
  <c r="P3116" i="7" s="1"/>
  <c r="G3109" i="7"/>
  <c r="F3109" i="7"/>
  <c r="E3109" i="7" s="1"/>
  <c r="E3110" i="7" s="1"/>
  <c r="G3105" i="7"/>
  <c r="F3105" i="7"/>
  <c r="G3102" i="7"/>
  <c r="F3102" i="7"/>
  <c r="F3093" i="7" s="1"/>
  <c r="E3093" i="7" s="1"/>
  <c r="B3102" i="7"/>
  <c r="B3103" i="7" s="1"/>
  <c r="F3101" i="7"/>
  <c r="B3100" i="7"/>
  <c r="B3099" i="7" s="1"/>
  <c r="F3099" i="7" s="1"/>
  <c r="H3092" i="7"/>
  <c r="N3085" i="7"/>
  <c r="N3084" i="7"/>
  <c r="H3084" i="7"/>
  <c r="H3085" i="7" s="1"/>
  <c r="U3082" i="7"/>
  <c r="V3082" i="7" s="1"/>
  <c r="R3080" i="7"/>
  <c r="Q3079" i="7"/>
  <c r="G3079" i="7"/>
  <c r="B3079" i="7"/>
  <c r="F3079" i="7" s="1"/>
  <c r="F3059" i="7" s="1"/>
  <c r="E3059" i="7" s="1"/>
  <c r="Q3078" i="7"/>
  <c r="F3078" i="7"/>
  <c r="Q3077" i="7"/>
  <c r="F3077" i="7"/>
  <c r="B3077" i="7"/>
  <c r="B3076" i="7" s="1"/>
  <c r="F3076" i="7" s="1"/>
  <c r="Q3076" i="7"/>
  <c r="Q3080" i="7" s="1"/>
  <c r="P3082" i="7" s="1"/>
  <c r="G3075" i="7"/>
  <c r="E3075" i="7" s="1"/>
  <c r="E3076" i="7" s="1"/>
  <c r="F3075" i="7"/>
  <c r="G3071" i="7"/>
  <c r="F3071" i="7"/>
  <c r="E3071" i="7" s="1"/>
  <c r="E3070" i="7" s="1"/>
  <c r="B3069" i="7"/>
  <c r="F3068" i="7"/>
  <c r="B3068" i="7"/>
  <c r="F3067" i="7"/>
  <c r="B3066" i="7"/>
  <c r="B3065" i="7" s="1"/>
  <c r="F3065" i="7" s="1"/>
  <c r="H3058" i="7"/>
  <c r="U3048" i="7"/>
  <c r="V3048" i="7" s="1"/>
  <c r="M3046" i="7"/>
  <c r="Q3045" i="7"/>
  <c r="B3045" i="7"/>
  <c r="F3045" i="7" s="1"/>
  <c r="Q3044" i="7"/>
  <c r="F3044" i="7"/>
  <c r="Q3043" i="7"/>
  <c r="B3043" i="7"/>
  <c r="F3043" i="7" s="1"/>
  <c r="Q3042" i="7"/>
  <c r="G3041" i="7"/>
  <c r="F3041" i="7"/>
  <c r="E3041" i="7" s="1"/>
  <c r="E3042" i="7" s="1"/>
  <c r="G3037" i="7"/>
  <c r="F3037" i="7"/>
  <c r="M3035" i="7"/>
  <c r="G3035" i="7"/>
  <c r="B3034" i="7"/>
  <c r="B3035" i="7" s="1"/>
  <c r="F3033" i="7"/>
  <c r="F3032" i="7"/>
  <c r="B3032" i="7"/>
  <c r="B3031" i="7"/>
  <c r="F3031" i="7" s="1"/>
  <c r="H3024" i="7"/>
  <c r="U3014" i="7"/>
  <c r="V3014" i="7" s="1"/>
  <c r="Q3011" i="7"/>
  <c r="B3011" i="7"/>
  <c r="F3011" i="7" s="1"/>
  <c r="Q3010" i="7"/>
  <c r="F3010" i="7"/>
  <c r="Q3009" i="7"/>
  <c r="B3009" i="7"/>
  <c r="F3009" i="7" s="1"/>
  <c r="Q3008" i="7"/>
  <c r="G3007" i="7"/>
  <c r="F3007" i="7"/>
  <c r="E3007" i="7" s="1"/>
  <c r="E3008" i="7" s="1"/>
  <c r="G3003" i="7"/>
  <c r="F3003" i="7"/>
  <c r="G3000" i="7"/>
  <c r="F3000" i="7"/>
  <c r="B3000" i="7"/>
  <c r="B3001" i="7" s="1"/>
  <c r="F2999" i="7"/>
  <c r="B2998" i="7"/>
  <c r="B2997" i="7" s="1"/>
  <c r="F2997" i="7" s="1"/>
  <c r="H2990" i="7"/>
  <c r="U2980" i="7"/>
  <c r="V2980" i="7" s="1"/>
  <c r="Q2977" i="7"/>
  <c r="B2977" i="7"/>
  <c r="B2978" i="7" s="1"/>
  <c r="F2978" i="7" s="1"/>
  <c r="Q2976" i="7"/>
  <c r="F2976" i="7"/>
  <c r="Q2975" i="7"/>
  <c r="B2975" i="7"/>
  <c r="F2975" i="7" s="1"/>
  <c r="Q2974" i="7"/>
  <c r="G2973" i="7"/>
  <c r="F2973" i="7"/>
  <c r="G2969" i="7"/>
  <c r="F2969" i="7"/>
  <c r="B2966" i="7"/>
  <c r="F2965" i="7"/>
  <c r="B2964" i="7"/>
  <c r="F2964" i="7" s="1"/>
  <c r="H2956" i="7"/>
  <c r="U2946" i="7"/>
  <c r="V2946" i="7" s="1"/>
  <c r="G2944" i="7"/>
  <c r="Q2943" i="7"/>
  <c r="B2943" i="7"/>
  <c r="B2944" i="7" s="1"/>
  <c r="B2945" i="7" s="1"/>
  <c r="F2945" i="7" s="1"/>
  <c r="Q2942" i="7"/>
  <c r="F2942" i="7"/>
  <c r="Q2941" i="7"/>
  <c r="F2941" i="7"/>
  <c r="B2941" i="7"/>
  <c r="Q2940" i="7"/>
  <c r="Q2944" i="7" s="1"/>
  <c r="P2946" i="7" s="1"/>
  <c r="B2940" i="7"/>
  <c r="F2940" i="7" s="1"/>
  <c r="G2939" i="7"/>
  <c r="F2939" i="7"/>
  <c r="E2939" i="7" s="1"/>
  <c r="E2940" i="7" s="1"/>
  <c r="G2935" i="7"/>
  <c r="E2935" i="7" s="1"/>
  <c r="E2934" i="7" s="1"/>
  <c r="F2935" i="7"/>
  <c r="B2932" i="7"/>
  <c r="F2932" i="7" s="1"/>
  <c r="F2931" i="7"/>
  <c r="F2930" i="7"/>
  <c r="B2930" i="7"/>
  <c r="B2929" i="7"/>
  <c r="F2929" i="7" s="1"/>
  <c r="H2922" i="7"/>
  <c r="H2914" i="7"/>
  <c r="H2915" i="7" s="1"/>
  <c r="C2914" i="7"/>
  <c r="U2912" i="7"/>
  <c r="V2912" i="7" s="1"/>
  <c r="R2910" i="7"/>
  <c r="G2910" i="7"/>
  <c r="U2909" i="7"/>
  <c r="Q2909" i="7" s="1"/>
  <c r="B2909" i="7"/>
  <c r="F2909" i="7" s="1"/>
  <c r="U2908" i="7"/>
  <c r="Q2908" i="7" s="1"/>
  <c r="F2908" i="7"/>
  <c r="U2907" i="7"/>
  <c r="Q2907" i="7"/>
  <c r="B2907" i="7"/>
  <c r="F2907" i="7" s="1"/>
  <c r="U2906" i="7"/>
  <c r="U2910" i="7" s="1"/>
  <c r="B2906" i="7"/>
  <c r="F2906" i="7" s="1"/>
  <c r="G2905" i="7"/>
  <c r="F2905" i="7"/>
  <c r="G2901" i="7"/>
  <c r="F2901" i="7"/>
  <c r="B2898" i="7"/>
  <c r="B2899" i="7" s="1"/>
  <c r="F2899" i="7" s="1"/>
  <c r="F2897" i="7"/>
  <c r="B2896" i="7"/>
  <c r="H2888" i="7"/>
  <c r="U2878" i="7"/>
  <c r="V2878" i="7" s="1"/>
  <c r="R2876" i="7"/>
  <c r="B2876" i="7"/>
  <c r="B2877" i="7" s="1"/>
  <c r="F2877" i="7" s="1"/>
  <c r="U2875" i="7"/>
  <c r="Q2875" i="7"/>
  <c r="G2875" i="7"/>
  <c r="F2875" i="7"/>
  <c r="B2875" i="7"/>
  <c r="U2874" i="7"/>
  <c r="F2874" i="7"/>
  <c r="U2873" i="7"/>
  <c r="Q2873" i="7" s="1"/>
  <c r="B2873" i="7"/>
  <c r="B2872" i="7" s="1"/>
  <c r="F2872" i="7" s="1"/>
  <c r="U2872" i="7"/>
  <c r="Q2872" i="7"/>
  <c r="G2871" i="7"/>
  <c r="F2871" i="7"/>
  <c r="G2867" i="7"/>
  <c r="F2867" i="7"/>
  <c r="E2867" i="7" s="1"/>
  <c r="E2866" i="7" s="1"/>
  <c r="B2865" i="7"/>
  <c r="F2865" i="7" s="1"/>
  <c r="G2864" i="7"/>
  <c r="F2864" i="7"/>
  <c r="F2855" i="7" s="1"/>
  <c r="E2855" i="7" s="1"/>
  <c r="B2864" i="7"/>
  <c r="F2863" i="7"/>
  <c r="B2862" i="7"/>
  <c r="H2854" i="7"/>
  <c r="U2844" i="7"/>
  <c r="V2844" i="7" s="1"/>
  <c r="R2842" i="7"/>
  <c r="U2841" i="7"/>
  <c r="Q2841" i="7" s="1"/>
  <c r="B2841" i="7"/>
  <c r="B2842" i="7" s="1"/>
  <c r="U2840" i="7"/>
  <c r="Q2840" i="7"/>
  <c r="F2840" i="7"/>
  <c r="U2839" i="7"/>
  <c r="Q2839" i="7" s="1"/>
  <c r="B2839" i="7"/>
  <c r="F2839" i="7" s="1"/>
  <c r="U2838" i="7"/>
  <c r="Q2838" i="7" s="1"/>
  <c r="G2837" i="7"/>
  <c r="F2837" i="7"/>
  <c r="G2833" i="7"/>
  <c r="F2833" i="7"/>
  <c r="E2833" i="7"/>
  <c r="E2832" i="7" s="1"/>
  <c r="F2831" i="7"/>
  <c r="F2830" i="7"/>
  <c r="B2830" i="7"/>
  <c r="B2831" i="7" s="1"/>
  <c r="B2832" i="7" s="1"/>
  <c r="F2832" i="7" s="1"/>
  <c r="F2829" i="7"/>
  <c r="B2828" i="7"/>
  <c r="F2828" i="7" s="1"/>
  <c r="B2827" i="7"/>
  <c r="F2827" i="7" s="1"/>
  <c r="H2820" i="7"/>
  <c r="U2810" i="7"/>
  <c r="V2810" i="7" s="1"/>
  <c r="R2808" i="7"/>
  <c r="G2808" i="7"/>
  <c r="U2807" i="7"/>
  <c r="Q2807" i="7" s="1"/>
  <c r="B2807" i="7"/>
  <c r="B2808" i="7" s="1"/>
  <c r="B2809" i="7" s="1"/>
  <c r="F2809" i="7" s="1"/>
  <c r="U2806" i="7"/>
  <c r="F2806" i="7"/>
  <c r="U2805" i="7"/>
  <c r="Q2805" i="7"/>
  <c r="B2805" i="7"/>
  <c r="U2804" i="7"/>
  <c r="Q2804" i="7" s="1"/>
  <c r="G2803" i="7"/>
  <c r="E2803" i="7" s="1"/>
  <c r="E2804" i="7" s="1"/>
  <c r="F2803" i="7"/>
  <c r="Q2800" i="7"/>
  <c r="G2799" i="7"/>
  <c r="E2799" i="7" s="1"/>
  <c r="C2800" i="7" s="1"/>
  <c r="D2800" i="7" s="1"/>
  <c r="F2799" i="7"/>
  <c r="B2797" i="7"/>
  <c r="B2798" i="7" s="1"/>
  <c r="F2798" i="7" s="1"/>
  <c r="B2796" i="7"/>
  <c r="F2796" i="7" s="1"/>
  <c r="F2795" i="7"/>
  <c r="B2794" i="7"/>
  <c r="H2786" i="7"/>
  <c r="U2776" i="7"/>
  <c r="V2776" i="7" s="1"/>
  <c r="R2774" i="7"/>
  <c r="U2773" i="7"/>
  <c r="Q2773" i="7" s="1"/>
  <c r="B2773" i="7"/>
  <c r="U2772" i="7"/>
  <c r="Q2772" i="7"/>
  <c r="F2772" i="7"/>
  <c r="U2771" i="7"/>
  <c r="Q2771" i="7" s="1"/>
  <c r="B2771" i="7"/>
  <c r="F2771" i="7" s="1"/>
  <c r="U2770" i="7"/>
  <c r="Q2770" i="7" s="1"/>
  <c r="G2769" i="7"/>
  <c r="F2769" i="7"/>
  <c r="E2769" i="7" s="1"/>
  <c r="E2770" i="7" s="1"/>
  <c r="G2765" i="7"/>
  <c r="F2765" i="7"/>
  <c r="E2765" i="7" s="1"/>
  <c r="E2764" i="7" s="1"/>
  <c r="G2762" i="7"/>
  <c r="B2762" i="7"/>
  <c r="F2761" i="7"/>
  <c r="B2760" i="7"/>
  <c r="B2759" i="7" s="1"/>
  <c r="F2759" i="7" s="1"/>
  <c r="H2752" i="7"/>
  <c r="U2742" i="7"/>
  <c r="V2742" i="7" s="1"/>
  <c r="R2740" i="7"/>
  <c r="U2739" i="7"/>
  <c r="Q2739" i="7" s="1"/>
  <c r="B2739" i="7"/>
  <c r="B2740" i="7" s="1"/>
  <c r="F2740" i="7" s="1"/>
  <c r="U2738" i="7"/>
  <c r="Q2738" i="7" s="1"/>
  <c r="F2738" i="7"/>
  <c r="U2737" i="7"/>
  <c r="Q2737" i="7"/>
  <c r="B2737" i="7"/>
  <c r="U2736" i="7"/>
  <c r="U2740" i="7" s="1"/>
  <c r="G2735" i="7"/>
  <c r="E2735" i="7" s="1"/>
  <c r="E2736" i="7" s="1"/>
  <c r="F2735" i="7"/>
  <c r="G2731" i="7"/>
  <c r="F2731" i="7"/>
  <c r="E2731" i="7" s="1"/>
  <c r="E2730" i="7" s="1"/>
  <c r="B2729" i="7"/>
  <c r="F2729" i="7" s="1"/>
  <c r="B2728" i="7"/>
  <c r="F2728" i="7" s="1"/>
  <c r="F2727" i="7"/>
  <c r="B2726" i="7"/>
  <c r="B2725" i="7" s="1"/>
  <c r="F2725" i="7" s="1"/>
  <c r="H2718" i="7"/>
  <c r="V2708" i="7"/>
  <c r="U2708" i="7"/>
  <c r="B2707" i="7"/>
  <c r="F2707" i="7" s="1"/>
  <c r="R2706" i="7"/>
  <c r="F2706" i="7"/>
  <c r="U2705" i="7"/>
  <c r="Q2705" i="7" s="1"/>
  <c r="F2705" i="7"/>
  <c r="B2705" i="7"/>
  <c r="B2706" i="7" s="1"/>
  <c r="U2704" i="7"/>
  <c r="Q2704" i="7" s="1"/>
  <c r="F2704" i="7"/>
  <c r="U2703" i="7"/>
  <c r="Q2703" i="7" s="1"/>
  <c r="B2703" i="7"/>
  <c r="U2702" i="7"/>
  <c r="Q2702" i="7"/>
  <c r="G2701" i="7"/>
  <c r="F2701" i="7"/>
  <c r="G2697" i="7"/>
  <c r="F2697" i="7"/>
  <c r="E2697" i="7" s="1"/>
  <c r="E2696" i="7" s="1"/>
  <c r="B2694" i="7"/>
  <c r="F2694" i="7" s="1"/>
  <c r="F2693" i="7"/>
  <c r="B2692" i="7"/>
  <c r="F2692" i="7" s="1"/>
  <c r="B2691" i="7"/>
  <c r="F2691" i="7" s="1"/>
  <c r="M2685" i="7"/>
  <c r="H2684" i="7"/>
  <c r="U2674" i="7"/>
  <c r="V2674" i="7" s="1"/>
  <c r="R2672" i="7"/>
  <c r="U2671" i="7"/>
  <c r="Q2671" i="7" s="1"/>
  <c r="B2671" i="7"/>
  <c r="F2671" i="7" s="1"/>
  <c r="U2670" i="7"/>
  <c r="Q2670" i="7" s="1"/>
  <c r="F2670" i="7"/>
  <c r="U2669" i="7"/>
  <c r="Q2669" i="7" s="1"/>
  <c r="B2669" i="7"/>
  <c r="F2669" i="7" s="1"/>
  <c r="U2668" i="7"/>
  <c r="U2672" i="7" s="1"/>
  <c r="B2668" i="7"/>
  <c r="F2668" i="7" s="1"/>
  <c r="G2667" i="7"/>
  <c r="F2667" i="7"/>
  <c r="G2663" i="7"/>
  <c r="F2663" i="7"/>
  <c r="E2663" i="7" s="1"/>
  <c r="E2662" i="7" s="1"/>
  <c r="B2660" i="7"/>
  <c r="B2661" i="7" s="1"/>
  <c r="F2659" i="7"/>
  <c r="B2658" i="7"/>
  <c r="B2657" i="7" s="1"/>
  <c r="F2657" i="7" s="1"/>
  <c r="F2655" i="7" s="1"/>
  <c r="H2650" i="7"/>
  <c r="U2640" i="7"/>
  <c r="V2640" i="7" s="1"/>
  <c r="R2638" i="7"/>
  <c r="G2638" i="7"/>
  <c r="U2637" i="7"/>
  <c r="Q2637" i="7" s="1"/>
  <c r="B2637" i="7"/>
  <c r="F2637" i="7" s="1"/>
  <c r="U2636" i="7"/>
  <c r="Q2636" i="7" s="1"/>
  <c r="F2636" i="7"/>
  <c r="U2635" i="7"/>
  <c r="Q2635" i="7"/>
  <c r="B2635" i="7"/>
  <c r="F2635" i="7" s="1"/>
  <c r="U2634" i="7"/>
  <c r="Q2634" i="7"/>
  <c r="Q2638" i="7" s="1"/>
  <c r="B2634" i="7"/>
  <c r="F2634" i="7" s="1"/>
  <c r="G2633" i="7"/>
  <c r="F2633" i="7"/>
  <c r="E2633" i="7" s="1"/>
  <c r="E2634" i="7" s="1"/>
  <c r="G2629" i="7"/>
  <c r="F2629" i="7"/>
  <c r="E2629" i="7" s="1"/>
  <c r="E2628" i="7" s="1"/>
  <c r="B2626" i="7"/>
  <c r="B2627" i="7" s="1"/>
  <c r="F2625" i="7"/>
  <c r="B2624" i="7"/>
  <c r="F2624" i="7" s="1"/>
  <c r="H2616" i="7"/>
  <c r="K2609" i="7"/>
  <c r="I2609" i="7"/>
  <c r="U2606" i="7"/>
  <c r="V2606" i="7" s="1"/>
  <c r="R2604" i="7"/>
  <c r="G2604" i="7"/>
  <c r="U2603" i="7"/>
  <c r="Q2603" i="7" s="1"/>
  <c r="B2603" i="7"/>
  <c r="F2603" i="7" s="1"/>
  <c r="U2602" i="7"/>
  <c r="Q2602" i="7" s="1"/>
  <c r="F2602" i="7"/>
  <c r="U2601" i="7"/>
  <c r="Q2601" i="7" s="1"/>
  <c r="B2601" i="7"/>
  <c r="F2601" i="7" s="1"/>
  <c r="U2600" i="7"/>
  <c r="U2604" i="7" s="1"/>
  <c r="B2600" i="7"/>
  <c r="F2600" i="7" s="1"/>
  <c r="G2599" i="7"/>
  <c r="F2599" i="7"/>
  <c r="G2595" i="7"/>
  <c r="F2595" i="7"/>
  <c r="E2595" i="7" s="1"/>
  <c r="E2594" i="7" s="1"/>
  <c r="B2592" i="7"/>
  <c r="B2593" i="7" s="1"/>
  <c r="F2591" i="7"/>
  <c r="B2590" i="7"/>
  <c r="B2589" i="7" s="1"/>
  <c r="F2589" i="7" s="1"/>
  <c r="F2587" i="7" s="1"/>
  <c r="H2582" i="7"/>
  <c r="U2572" i="7"/>
  <c r="V2572" i="7" s="1"/>
  <c r="R2570" i="7"/>
  <c r="U2569" i="7"/>
  <c r="Q2569" i="7"/>
  <c r="B2569" i="7"/>
  <c r="B2570" i="7" s="1"/>
  <c r="U2568" i="7"/>
  <c r="Q2568" i="7"/>
  <c r="F2568" i="7"/>
  <c r="U2567" i="7"/>
  <c r="Q2567" i="7" s="1"/>
  <c r="F2567" i="7"/>
  <c r="B2567" i="7"/>
  <c r="B2566" i="7" s="1"/>
  <c r="F2566" i="7" s="1"/>
  <c r="U2566" i="7"/>
  <c r="U2570" i="7" s="1"/>
  <c r="G2565" i="7"/>
  <c r="F2565" i="7"/>
  <c r="G2561" i="7"/>
  <c r="E2561" i="7" s="1"/>
  <c r="E2560" i="7" s="1"/>
  <c r="F2561" i="7"/>
  <c r="G2558" i="7"/>
  <c r="B2558" i="7"/>
  <c r="F2558" i="7" s="1"/>
  <c r="F2557" i="7"/>
  <c r="B2556" i="7"/>
  <c r="F2556" i="7" s="1"/>
  <c r="B2555" i="7"/>
  <c r="F2555" i="7" s="1"/>
  <c r="F2553" i="7" s="1"/>
  <c r="H2548" i="7"/>
  <c r="B3036" i="7" l="1"/>
  <c r="F3036" i="7" s="1"/>
  <c r="F3035" i="7"/>
  <c r="F2927" i="7"/>
  <c r="F2991" i="7"/>
  <c r="E2991" i="7" s="1"/>
  <c r="F3063" i="7"/>
  <c r="Q2570" i="7"/>
  <c r="P2572" i="7" s="1"/>
  <c r="F2583" i="7"/>
  <c r="E2583" i="7" s="1"/>
  <c r="D2584" i="7" s="1"/>
  <c r="B2770" i="7"/>
  <c r="F2770" i="7" s="1"/>
  <c r="U2842" i="7"/>
  <c r="S2842" i="7" s="1"/>
  <c r="Q2566" i="7"/>
  <c r="F2592" i="7"/>
  <c r="E2599" i="7"/>
  <c r="E2600" i="7" s="1"/>
  <c r="B2623" i="7"/>
  <c r="F2623" i="7" s="1"/>
  <c r="F2621" i="7" s="1"/>
  <c r="F2660" i="7"/>
  <c r="F2651" i="7" s="1"/>
  <c r="E2651" i="7" s="1"/>
  <c r="E2667" i="7"/>
  <c r="E2668" i="7" s="1"/>
  <c r="F2726" i="7"/>
  <c r="B2730" i="7"/>
  <c r="F2730" i="7" s="1"/>
  <c r="S2740" i="7"/>
  <c r="Q2774" i="7"/>
  <c r="U2808" i="7"/>
  <c r="S2808" i="7" s="1"/>
  <c r="F2808" i="7"/>
  <c r="E2837" i="7"/>
  <c r="E2838" i="7" s="1"/>
  <c r="Q2842" i="7"/>
  <c r="B2866" i="7"/>
  <c r="F2866" i="7" s="1"/>
  <c r="E2871" i="7"/>
  <c r="E2872" i="7" s="1"/>
  <c r="E2901" i="7"/>
  <c r="E2900" i="7" s="1"/>
  <c r="E2973" i="7"/>
  <c r="E2974" i="7" s="1"/>
  <c r="Q2978" i="7"/>
  <c r="P2980" i="7" s="1"/>
  <c r="B2979" i="7"/>
  <c r="F2979" i="7" s="1"/>
  <c r="Q3012" i="7"/>
  <c r="P3014" i="7" s="1"/>
  <c r="B3012" i="7"/>
  <c r="Q3046" i="7"/>
  <c r="P3048" i="7" s="1"/>
  <c r="B3046" i="7"/>
  <c r="F3066" i="7"/>
  <c r="B3080" i="7"/>
  <c r="F3100" i="7"/>
  <c r="B3144" i="7"/>
  <c r="F3144" i="7" s="1"/>
  <c r="F3131" i="7" s="1"/>
  <c r="F3170" i="7"/>
  <c r="F3161" i="7" s="1"/>
  <c r="E3161" i="7" s="1"/>
  <c r="B3182" i="7"/>
  <c r="B3183" i="7" s="1"/>
  <c r="F3183" i="7" s="1"/>
  <c r="F3127" i="7"/>
  <c r="E3127" i="7" s="1"/>
  <c r="E2565" i="7"/>
  <c r="E2566" i="7" s="1"/>
  <c r="F2569" i="7"/>
  <c r="S2672" i="7"/>
  <c r="F2685" i="7"/>
  <c r="E2685" i="7" s="1"/>
  <c r="E2701" i="7"/>
  <c r="E2702" i="7" s="1"/>
  <c r="Q2736" i="7"/>
  <c r="Q2740" i="7" s="1"/>
  <c r="P2742" i="7" s="1"/>
  <c r="F2739" i="7"/>
  <c r="F2760" i="7"/>
  <c r="F2797" i="7"/>
  <c r="F2807" i="7"/>
  <c r="F2787" i="7" s="1"/>
  <c r="E2787" i="7" s="1"/>
  <c r="B2838" i="7"/>
  <c r="F2838" i="7" s="1"/>
  <c r="F2825" i="7" s="1"/>
  <c r="E2905" i="7"/>
  <c r="E2906" i="7" s="1"/>
  <c r="B2933" i="7"/>
  <c r="B2934" i="7" s="1"/>
  <c r="F2934" i="7" s="1"/>
  <c r="B2963" i="7"/>
  <c r="F2963" i="7" s="1"/>
  <c r="F2961" i="7" s="1"/>
  <c r="E2969" i="7"/>
  <c r="E2968" i="7" s="1"/>
  <c r="B2974" i="7"/>
  <c r="F2974" i="7" s="1"/>
  <c r="F2977" i="7"/>
  <c r="F2998" i="7"/>
  <c r="F3034" i="7"/>
  <c r="F3025" i="7" s="1"/>
  <c r="E3025" i="7" s="1"/>
  <c r="D3024" i="7" s="1"/>
  <c r="F3024" i="7" s="1"/>
  <c r="F3137" i="7"/>
  <c r="E3143" i="7"/>
  <c r="E3144" i="7" s="1"/>
  <c r="B3178" i="7"/>
  <c r="F3178" i="7" s="1"/>
  <c r="F2549" i="7"/>
  <c r="E2549" i="7" s="1"/>
  <c r="D2548" i="7" s="1"/>
  <c r="S2570" i="7"/>
  <c r="E2798" i="7"/>
  <c r="U2876" i="7"/>
  <c r="S2876" i="7" s="1"/>
  <c r="B3008" i="7"/>
  <c r="F3008" i="7" s="1"/>
  <c r="F2995" i="7" s="1"/>
  <c r="B3042" i="7"/>
  <c r="F3042" i="7" s="1"/>
  <c r="F3029" i="7" s="1"/>
  <c r="T2570" i="7"/>
  <c r="F2593" i="7"/>
  <c r="B2594" i="7"/>
  <c r="F2594" i="7" s="1"/>
  <c r="P2640" i="7"/>
  <c r="F2661" i="7"/>
  <c r="B2662" i="7"/>
  <c r="F2662" i="7" s="1"/>
  <c r="F2627" i="7"/>
  <c r="B2628" i="7"/>
  <c r="F2628" i="7" s="1"/>
  <c r="F2757" i="7"/>
  <c r="P2776" i="7"/>
  <c r="P2844" i="7"/>
  <c r="T2842" i="7"/>
  <c r="B2571" i="7"/>
  <c r="F2571" i="7" s="1"/>
  <c r="F2570" i="7"/>
  <c r="D2856" i="7"/>
  <c r="D2854" i="7"/>
  <c r="S2604" i="7"/>
  <c r="D2686" i="7"/>
  <c r="D2684" i="7"/>
  <c r="U2638" i="7"/>
  <c r="S2638" i="7" s="1"/>
  <c r="T2638" i="7" s="1"/>
  <c r="B2672" i="7"/>
  <c r="B2559" i="7"/>
  <c r="Q2600" i="7"/>
  <c r="Q2604" i="7" s="1"/>
  <c r="Q2668" i="7"/>
  <c r="Q2672" i="7" s="1"/>
  <c r="U2706" i="7"/>
  <c r="U2774" i="7"/>
  <c r="S2774" i="7" s="1"/>
  <c r="T2774" i="7" s="1"/>
  <c r="D3160" i="7"/>
  <c r="D3162" i="7"/>
  <c r="B2604" i="7"/>
  <c r="F2762" i="7"/>
  <c r="B2763" i="7"/>
  <c r="F2590" i="7"/>
  <c r="F2626" i="7"/>
  <c r="F2617" i="7" s="1"/>
  <c r="E2617" i="7" s="1"/>
  <c r="B2638" i="7"/>
  <c r="F2658" i="7"/>
  <c r="B2695" i="7"/>
  <c r="S2706" i="7"/>
  <c r="B2741" i="7"/>
  <c r="F2741" i="7" s="1"/>
  <c r="B2793" i="7"/>
  <c r="F2793" i="7" s="1"/>
  <c r="F2794" i="7"/>
  <c r="F2805" i="7"/>
  <c r="B2804" i="7"/>
  <c r="F2804" i="7" s="1"/>
  <c r="B2861" i="7"/>
  <c r="F2861" i="7" s="1"/>
  <c r="F2859" i="7" s="1"/>
  <c r="F2862" i="7"/>
  <c r="B2702" i="7"/>
  <c r="F2702" i="7" s="1"/>
  <c r="F2689" i="7" s="1"/>
  <c r="F2703" i="7"/>
  <c r="Q2706" i="7"/>
  <c r="F2719" i="7"/>
  <c r="E2719" i="7" s="1"/>
  <c r="F2737" i="7"/>
  <c r="B2736" i="7"/>
  <c r="F2736" i="7" s="1"/>
  <c r="F2723" i="7" s="1"/>
  <c r="B2774" i="7"/>
  <c r="F2773" i="7"/>
  <c r="B2843" i="7"/>
  <c r="F2843" i="7" s="1"/>
  <c r="F2842" i="7"/>
  <c r="F2841" i="7"/>
  <c r="F2821" i="7" s="1"/>
  <c r="E2821" i="7" s="1"/>
  <c r="F2873" i="7"/>
  <c r="Q2874" i="7"/>
  <c r="Q2876" i="7" s="1"/>
  <c r="F2876" i="7"/>
  <c r="F2943" i="7"/>
  <c r="F2923" i="7" s="1"/>
  <c r="E2923" i="7" s="1"/>
  <c r="D2990" i="7"/>
  <c r="D2992" i="7"/>
  <c r="D3058" i="7"/>
  <c r="D3060" i="7"/>
  <c r="B3104" i="7"/>
  <c r="F3104" i="7" s="1"/>
  <c r="F3103" i="7"/>
  <c r="E3105" i="7"/>
  <c r="E3104" i="7" s="1"/>
  <c r="B3110" i="7"/>
  <c r="F3110" i="7" s="1"/>
  <c r="F3097" i="7" s="1"/>
  <c r="B3172" i="7"/>
  <c r="F3172" i="7" s="1"/>
  <c r="F3171" i="7"/>
  <c r="B2967" i="7"/>
  <c r="F2966" i="7"/>
  <c r="F2957" i="7" s="1"/>
  <c r="E2957" i="7" s="1"/>
  <c r="B3070" i="7"/>
  <c r="F3070" i="7" s="1"/>
  <c r="F3069" i="7"/>
  <c r="B3115" i="7"/>
  <c r="F3115" i="7" s="1"/>
  <c r="F3114" i="7"/>
  <c r="F3148" i="7"/>
  <c r="B3149" i="7"/>
  <c r="F3149" i="7" s="1"/>
  <c r="Q2806" i="7"/>
  <c r="Q2808" i="7" s="1"/>
  <c r="F2898" i="7"/>
  <c r="F2889" i="7" s="1"/>
  <c r="E2889" i="7" s="1"/>
  <c r="Q2906" i="7"/>
  <c r="Q2910" i="7" s="1"/>
  <c r="S2910" i="7"/>
  <c r="F2933" i="7"/>
  <c r="F2944" i="7"/>
  <c r="B3002" i="7"/>
  <c r="F3002" i="7" s="1"/>
  <c r="F3001" i="7"/>
  <c r="E3003" i="7"/>
  <c r="E3002" i="7" s="1"/>
  <c r="E3037" i="7"/>
  <c r="E3036" i="7" s="1"/>
  <c r="D3092" i="7"/>
  <c r="D3094" i="7"/>
  <c r="B3167" i="7"/>
  <c r="F3167" i="7" s="1"/>
  <c r="F3165" i="7" s="1"/>
  <c r="F3168" i="7"/>
  <c r="E3177" i="7"/>
  <c r="E3178" i="7" s="1"/>
  <c r="Q3182" i="7"/>
  <c r="B2895" i="7"/>
  <c r="F2895" i="7" s="1"/>
  <c r="F2893" i="7" s="1"/>
  <c r="F2896" i="7"/>
  <c r="B2900" i="7"/>
  <c r="F2900" i="7" s="1"/>
  <c r="B2910" i="7"/>
  <c r="B3013" i="7"/>
  <c r="F3013" i="7" s="1"/>
  <c r="F3012" i="7"/>
  <c r="F3182" i="7"/>
  <c r="D2788" i="7" l="1"/>
  <c r="D2786" i="7"/>
  <c r="D2652" i="7"/>
  <c r="D2650" i="7"/>
  <c r="D3026" i="7"/>
  <c r="E3024" i="7"/>
  <c r="D2582" i="7"/>
  <c r="D3126" i="7"/>
  <c r="D3128" i="7"/>
  <c r="C3024" i="7"/>
  <c r="T2740" i="7"/>
  <c r="F2791" i="7"/>
  <c r="D2550" i="7"/>
  <c r="F2550" i="7" s="1"/>
  <c r="E2550" i="7" s="1"/>
  <c r="F3080" i="7"/>
  <c r="B3081" i="7"/>
  <c r="F3081" i="7" s="1"/>
  <c r="F3046" i="7"/>
  <c r="B3047" i="7"/>
  <c r="F3047" i="7" s="1"/>
  <c r="P2878" i="7"/>
  <c r="T2876" i="7"/>
  <c r="C3058" i="7"/>
  <c r="F3058" i="7"/>
  <c r="E3058" i="7" s="1"/>
  <c r="D2820" i="7"/>
  <c r="D2822" i="7"/>
  <c r="D2720" i="7"/>
  <c r="D2718" i="7"/>
  <c r="F2753" i="7"/>
  <c r="E2753" i="7" s="1"/>
  <c r="P2810" i="7"/>
  <c r="T2808" i="7"/>
  <c r="F2910" i="7"/>
  <c r="B2911" i="7"/>
  <c r="F2911" i="7" s="1"/>
  <c r="R3182" i="7"/>
  <c r="P3184" i="7"/>
  <c r="P2912" i="7"/>
  <c r="T2910" i="7"/>
  <c r="F2992" i="7"/>
  <c r="E2992" i="7" s="1"/>
  <c r="C2992" i="7"/>
  <c r="B2775" i="7"/>
  <c r="F2775" i="7" s="1"/>
  <c r="F2774" i="7"/>
  <c r="T2706" i="7"/>
  <c r="P2708" i="7"/>
  <c r="F2695" i="7"/>
  <c r="B2696" i="7"/>
  <c r="F2696" i="7" s="1"/>
  <c r="F2604" i="7"/>
  <c r="B2605" i="7"/>
  <c r="F2605" i="7" s="1"/>
  <c r="B2560" i="7"/>
  <c r="F2560" i="7" s="1"/>
  <c r="F2559" i="7"/>
  <c r="F2686" i="7"/>
  <c r="E2686" i="7" s="1"/>
  <c r="C2686" i="7"/>
  <c r="C2854" i="7"/>
  <c r="F2854" i="7"/>
  <c r="E2854" i="7" s="1"/>
  <c r="C2550" i="7"/>
  <c r="C2786" i="7"/>
  <c r="F2786" i="7"/>
  <c r="E2786" i="7"/>
  <c r="C2650" i="7"/>
  <c r="F2650" i="7"/>
  <c r="E2650" i="7" s="1"/>
  <c r="C3026" i="7"/>
  <c r="F3026" i="7"/>
  <c r="E3026" i="7" s="1"/>
  <c r="D2958" i="7"/>
  <c r="D2956" i="7"/>
  <c r="E3162" i="7"/>
  <c r="C3162" i="7"/>
  <c r="F3162" i="7"/>
  <c r="F2672" i="7"/>
  <c r="B2673" i="7"/>
  <c r="F2673" i="7" s="1"/>
  <c r="F2548" i="7"/>
  <c r="E2548" i="7" s="1"/>
  <c r="C2548" i="7"/>
  <c r="C2788" i="7"/>
  <c r="F2788" i="7"/>
  <c r="E2788" i="7" s="1"/>
  <c r="F2652" i="7"/>
  <c r="E2652" i="7" s="1"/>
  <c r="C2652" i="7"/>
  <c r="D2890" i="7"/>
  <c r="D2888" i="7"/>
  <c r="C2990" i="7"/>
  <c r="F2990" i="7"/>
  <c r="E2990" i="7" s="1"/>
  <c r="C2856" i="7"/>
  <c r="F2856" i="7"/>
  <c r="E2856" i="7" s="1"/>
  <c r="F3094" i="7"/>
  <c r="E3094" i="7" s="1"/>
  <c r="C3094" i="7"/>
  <c r="B2968" i="7"/>
  <c r="F2968" i="7" s="1"/>
  <c r="F2967" i="7"/>
  <c r="F3060" i="7"/>
  <c r="E3060" i="7" s="1"/>
  <c r="C3060" i="7"/>
  <c r="F2638" i="7"/>
  <c r="B2639" i="7"/>
  <c r="F2639" i="7" s="1"/>
  <c r="B2764" i="7"/>
  <c r="F2764" i="7" s="1"/>
  <c r="F2763" i="7"/>
  <c r="C3160" i="7"/>
  <c r="F3160" i="7"/>
  <c r="E3160" i="7" s="1"/>
  <c r="P2674" i="7"/>
  <c r="T2672" i="7"/>
  <c r="C2582" i="7"/>
  <c r="F2582" i="7"/>
  <c r="E2582" i="7" s="1"/>
  <c r="C3092" i="7"/>
  <c r="F3092" i="7"/>
  <c r="E3092" i="7" s="1"/>
  <c r="D2922" i="7"/>
  <c r="D2924" i="7"/>
  <c r="D2618" i="7"/>
  <c r="D2616" i="7"/>
  <c r="P2606" i="7"/>
  <c r="T2604" i="7"/>
  <c r="F2684" i="7"/>
  <c r="E2684" i="7"/>
  <c r="C2684" i="7"/>
  <c r="C2584" i="7"/>
  <c r="F2584" i="7"/>
  <c r="E2584" i="7" s="1"/>
  <c r="F3128" i="7" l="1"/>
  <c r="E3128" i="7" s="1"/>
  <c r="C3128" i="7"/>
  <c r="C3126" i="7"/>
  <c r="F3126" i="7"/>
  <c r="E3126" i="7" s="1"/>
  <c r="F2616" i="7"/>
  <c r="E2616" i="7"/>
  <c r="C2616" i="7"/>
  <c r="C2958" i="7"/>
  <c r="F2958" i="7"/>
  <c r="E2958" i="7"/>
  <c r="F2720" i="7"/>
  <c r="E2720" i="7" s="1"/>
  <c r="C2720" i="7"/>
  <c r="F2922" i="7"/>
  <c r="E2922" i="7" s="1"/>
  <c r="C2922" i="7"/>
  <c r="F2956" i="7"/>
  <c r="E2956" i="7"/>
  <c r="C2956" i="7"/>
  <c r="C2618" i="7"/>
  <c r="F2618" i="7"/>
  <c r="E2618" i="7"/>
  <c r="F2888" i="7"/>
  <c r="E2888" i="7" s="1"/>
  <c r="C2888" i="7"/>
  <c r="F2822" i="7"/>
  <c r="E2822" i="7" s="1"/>
  <c r="C2822" i="7"/>
  <c r="F2924" i="7"/>
  <c r="E2924" i="7" s="1"/>
  <c r="C2924" i="7"/>
  <c r="C2890" i="7"/>
  <c r="F2890" i="7"/>
  <c r="E2890" i="7" s="1"/>
  <c r="D2754" i="7"/>
  <c r="D2752" i="7"/>
  <c r="F2820" i="7"/>
  <c r="E2820" i="7" s="1"/>
  <c r="C2820" i="7"/>
  <c r="C2718" i="7"/>
  <c r="F2718" i="7"/>
  <c r="E2718" i="7" s="1"/>
  <c r="F2754" i="7" l="1"/>
  <c r="E2754" i="7"/>
  <c r="C2754" i="7"/>
  <c r="C2752" i="7"/>
  <c r="F2752" i="7"/>
  <c r="E2752" i="7" s="1"/>
  <c r="K18" i="6" l="1"/>
  <c r="F18" i="6"/>
  <c r="S319" i="1"/>
  <c r="T319" i="1" s="1"/>
  <c r="J319" i="1"/>
  <c r="I319" i="1"/>
  <c r="D319" i="1"/>
  <c r="E319" i="1" s="1"/>
  <c r="S318" i="1"/>
  <c r="T318" i="1" s="1"/>
  <c r="J318" i="1"/>
  <c r="I318" i="1"/>
  <c r="D318" i="1"/>
  <c r="E318" i="1" s="1"/>
  <c r="S317" i="1"/>
  <c r="T317" i="1" s="1"/>
  <c r="J317" i="1"/>
  <c r="I317" i="1"/>
  <c r="D317" i="1"/>
  <c r="E317" i="1" s="1"/>
  <c r="S316" i="1"/>
  <c r="T316" i="1" s="1"/>
  <c r="J316" i="1"/>
  <c r="I316" i="1"/>
  <c r="D316" i="1"/>
  <c r="E316" i="1" s="1"/>
  <c r="S315" i="1"/>
  <c r="T315" i="1" s="1"/>
  <c r="J315" i="1"/>
  <c r="I315" i="1"/>
  <c r="D315" i="1"/>
  <c r="E315" i="1" s="1"/>
  <c r="S314" i="1"/>
  <c r="T314" i="1" s="1"/>
  <c r="J314" i="1"/>
  <c r="I314" i="1"/>
  <c r="D314" i="1"/>
  <c r="E314" i="1" s="1"/>
  <c r="S313" i="1"/>
  <c r="T313" i="1" s="1"/>
  <c r="J313" i="1"/>
  <c r="I313" i="1"/>
  <c r="D313" i="1"/>
  <c r="E313" i="1" s="1"/>
  <c r="S312" i="1"/>
  <c r="T312" i="1" s="1"/>
  <c r="J312" i="1"/>
  <c r="I312" i="1"/>
  <c r="D312" i="1"/>
  <c r="E312" i="1" s="1"/>
  <c r="S311" i="1"/>
  <c r="T311" i="1" s="1"/>
  <c r="J311" i="1"/>
  <c r="I311" i="1"/>
  <c r="D311" i="1"/>
  <c r="E311" i="1" s="1"/>
  <c r="S310" i="1"/>
  <c r="T310" i="1" s="1"/>
  <c r="J310" i="1"/>
  <c r="I310" i="1"/>
  <c r="D310" i="1"/>
  <c r="E310" i="1" s="1"/>
  <c r="S309" i="1"/>
  <c r="T309" i="1" s="1"/>
  <c r="J309" i="1"/>
  <c r="I309" i="1"/>
  <c r="D309" i="1"/>
  <c r="E309" i="1" s="1"/>
  <c r="S308" i="1"/>
  <c r="T308" i="1" s="1"/>
  <c r="J308" i="1"/>
  <c r="I308" i="1"/>
  <c r="D308" i="1"/>
  <c r="E308" i="1" s="1"/>
  <c r="S307" i="1"/>
  <c r="T307" i="1" s="1"/>
  <c r="J307" i="1"/>
  <c r="I307" i="1"/>
  <c r="D307" i="1"/>
  <c r="E307" i="1" s="1"/>
  <c r="S321" i="1" l="1"/>
  <c r="J13" i="6"/>
  <c r="J14" i="6"/>
  <c r="J15" i="6"/>
  <c r="J12" i="6"/>
  <c r="U2538" i="7" l="1"/>
  <c r="G2537" i="7"/>
  <c r="G2536" i="7"/>
  <c r="B2535" i="7"/>
  <c r="B2536" i="7" s="1"/>
  <c r="F2534" i="7"/>
  <c r="Q2533" i="7"/>
  <c r="B2533" i="7"/>
  <c r="F2533" i="7" s="1"/>
  <c r="Q2532" i="7"/>
  <c r="B2532" i="7"/>
  <c r="F2532" i="7" s="1"/>
  <c r="U2531" i="7"/>
  <c r="Q2531" i="7" s="1"/>
  <c r="G2531" i="7"/>
  <c r="F2531" i="7"/>
  <c r="E2531" i="7" s="1"/>
  <c r="E2532" i="7" s="1"/>
  <c r="M2514" i="7" s="1"/>
  <c r="U2530" i="7"/>
  <c r="Q2530" i="7" s="1"/>
  <c r="G2527" i="7"/>
  <c r="F2527" i="7"/>
  <c r="E2527" i="7" s="1"/>
  <c r="E2526" i="7" s="1"/>
  <c r="U2525" i="7"/>
  <c r="Q2525" i="7" s="1"/>
  <c r="U2524" i="7"/>
  <c r="Q2524" i="7" s="1"/>
  <c r="B2524" i="7"/>
  <c r="B2525" i="7" s="1"/>
  <c r="F2523" i="7"/>
  <c r="U2522" i="7"/>
  <c r="Q2522" i="7" s="1"/>
  <c r="B2522" i="7"/>
  <c r="F2522" i="7" s="1"/>
  <c r="M2516" i="7"/>
  <c r="T2515" i="7"/>
  <c r="Q2515" i="7"/>
  <c r="H2514" i="7"/>
  <c r="U2502" i="7"/>
  <c r="G2502" i="7"/>
  <c r="B2501" i="7"/>
  <c r="B2502" i="7" s="1"/>
  <c r="F2502" i="7" s="1"/>
  <c r="B2500" i="7"/>
  <c r="F2500" i="7" s="1"/>
  <c r="R2499" i="7"/>
  <c r="F2499" i="7"/>
  <c r="Q2498" i="7"/>
  <c r="B2498" i="7"/>
  <c r="F2498" i="7" s="1"/>
  <c r="Q2497" i="7"/>
  <c r="U2496" i="7"/>
  <c r="Q2496" i="7" s="1"/>
  <c r="G2496" i="7"/>
  <c r="F2496" i="7"/>
  <c r="U2495" i="7"/>
  <c r="Q2495" i="7" s="1"/>
  <c r="G2494" i="7"/>
  <c r="F2494" i="7"/>
  <c r="U2492" i="7"/>
  <c r="Q2492" i="7" s="1"/>
  <c r="U2491" i="7"/>
  <c r="Q2491" i="7" s="1"/>
  <c r="F2491" i="7"/>
  <c r="B2491" i="7"/>
  <c r="B2492" i="7" s="1"/>
  <c r="U2490" i="7"/>
  <c r="Q2490" i="7" s="1"/>
  <c r="F2490" i="7"/>
  <c r="U2489" i="7"/>
  <c r="F2489" i="7"/>
  <c r="B2489" i="7"/>
  <c r="B2488" i="7"/>
  <c r="F2488" i="7" s="1"/>
  <c r="M2483" i="7"/>
  <c r="T2482" i="7"/>
  <c r="Q2482" i="7"/>
  <c r="H2481" i="7"/>
  <c r="U2469" i="7"/>
  <c r="G2469" i="7"/>
  <c r="F2467" i="7"/>
  <c r="B2467" i="7"/>
  <c r="B2468" i="7" s="1"/>
  <c r="B2469" i="7" s="1"/>
  <c r="F2469" i="7" s="1"/>
  <c r="R2466" i="7"/>
  <c r="F2466" i="7"/>
  <c r="Q2465" i="7"/>
  <c r="B2465" i="7"/>
  <c r="F2465" i="7" s="1"/>
  <c r="Q2464" i="7"/>
  <c r="B2464" i="7"/>
  <c r="F2464" i="7" s="1"/>
  <c r="U2463" i="7"/>
  <c r="Q2463" i="7" s="1"/>
  <c r="G2463" i="7"/>
  <c r="F2463" i="7"/>
  <c r="E2463" i="7"/>
  <c r="E2464" i="7" s="1"/>
  <c r="U2462" i="7"/>
  <c r="Q2462" i="7" s="1"/>
  <c r="G2461" i="7"/>
  <c r="F2461" i="7"/>
  <c r="U2459" i="7"/>
  <c r="Q2459" i="7" s="1"/>
  <c r="U2458" i="7"/>
  <c r="Q2458" i="7" s="1"/>
  <c r="B2458" i="7"/>
  <c r="F2458" i="7" s="1"/>
  <c r="U2457" i="7"/>
  <c r="Q2457" i="7" s="1"/>
  <c r="F2457" i="7"/>
  <c r="U2456" i="7"/>
  <c r="Q2456" i="7" s="1"/>
  <c r="F2456" i="7"/>
  <c r="B2456" i="7"/>
  <c r="B2455" i="7" s="1"/>
  <c r="F2455" i="7" s="1"/>
  <c r="M2450" i="7"/>
  <c r="T2449" i="7"/>
  <c r="Q2449" i="7"/>
  <c r="H2448" i="7"/>
  <c r="U2436" i="7"/>
  <c r="V2436" i="7" s="1"/>
  <c r="G2436" i="7"/>
  <c r="B2434" i="7"/>
  <c r="B2435" i="7" s="1"/>
  <c r="B2436" i="7" s="1"/>
  <c r="F2436" i="7" s="1"/>
  <c r="F2433" i="7"/>
  <c r="Q2432" i="7"/>
  <c r="B2432" i="7"/>
  <c r="F2432" i="7" s="1"/>
  <c r="Q2431" i="7"/>
  <c r="U2430" i="7"/>
  <c r="Q2430" i="7" s="1"/>
  <c r="G2430" i="7"/>
  <c r="F2430" i="7"/>
  <c r="E2430" i="7"/>
  <c r="E2431" i="7" s="1"/>
  <c r="G2428" i="7"/>
  <c r="F2428" i="7"/>
  <c r="U2426" i="7"/>
  <c r="Q2426" i="7" s="1"/>
  <c r="U2425" i="7"/>
  <c r="Q2425" i="7" s="1"/>
  <c r="B2425" i="7"/>
  <c r="F2425" i="7" s="1"/>
  <c r="U2424" i="7"/>
  <c r="Q2424" i="7" s="1"/>
  <c r="F2424" i="7"/>
  <c r="B2423" i="7"/>
  <c r="B2422" i="7" s="1"/>
  <c r="F2422" i="7" s="1"/>
  <c r="M2417" i="7"/>
  <c r="R2423" i="7" s="1"/>
  <c r="T2416" i="7"/>
  <c r="Q2416" i="7"/>
  <c r="H2415" i="7"/>
  <c r="U2403" i="7"/>
  <c r="G2403" i="7"/>
  <c r="B2402" i="7"/>
  <c r="B2403" i="7" s="1"/>
  <c r="F2403" i="7" s="1"/>
  <c r="B2401" i="7"/>
  <c r="F2401" i="7" s="1"/>
  <c r="R2400" i="7"/>
  <c r="F2400" i="7"/>
  <c r="Q2399" i="7"/>
  <c r="B2399" i="7"/>
  <c r="F2399" i="7" s="1"/>
  <c r="Q2398" i="7"/>
  <c r="U2397" i="7"/>
  <c r="Q2397" i="7" s="1"/>
  <c r="G2397" i="7"/>
  <c r="F2397" i="7"/>
  <c r="E2397" i="7" s="1"/>
  <c r="E2398" i="7" s="1"/>
  <c r="U2396" i="7"/>
  <c r="Q2396" i="7" s="1"/>
  <c r="G2395" i="7"/>
  <c r="F2395" i="7"/>
  <c r="U2393" i="7"/>
  <c r="Q2393" i="7" s="1"/>
  <c r="U2392" i="7"/>
  <c r="Q2392" i="7" s="1"/>
  <c r="B2392" i="7"/>
  <c r="F2392" i="7" s="1"/>
  <c r="U2391" i="7"/>
  <c r="Q2391" i="7" s="1"/>
  <c r="F2391" i="7"/>
  <c r="U2390" i="7"/>
  <c r="U2400" i="7" s="1"/>
  <c r="F2390" i="7"/>
  <c r="B2390" i="7"/>
  <c r="B2389" i="7"/>
  <c r="F2389" i="7" s="1"/>
  <c r="M2384" i="7"/>
  <c r="T2383" i="7"/>
  <c r="Q2383" i="7"/>
  <c r="H2382" i="7"/>
  <c r="U2370" i="7"/>
  <c r="B2368" i="7"/>
  <c r="B2369" i="7" s="1"/>
  <c r="F2367" i="7"/>
  <c r="Q2366" i="7"/>
  <c r="F2366" i="7"/>
  <c r="B2366" i="7"/>
  <c r="Q2365" i="7"/>
  <c r="F2365" i="7"/>
  <c r="B2365" i="7"/>
  <c r="U2364" i="7"/>
  <c r="Q2364" i="7" s="1"/>
  <c r="G2364" i="7"/>
  <c r="F2364" i="7"/>
  <c r="U2363" i="7"/>
  <c r="Q2363" i="7" s="1"/>
  <c r="G2362" i="7"/>
  <c r="F2362" i="7"/>
  <c r="U2360" i="7"/>
  <c r="Q2360" i="7" s="1"/>
  <c r="U2359" i="7"/>
  <c r="Q2359" i="7" s="1"/>
  <c r="B2359" i="7"/>
  <c r="F2359" i="7" s="1"/>
  <c r="U2358" i="7"/>
  <c r="Q2358" i="7" s="1"/>
  <c r="F2358" i="7"/>
  <c r="B2357" i="7"/>
  <c r="F2357" i="7" s="1"/>
  <c r="G2356" i="7"/>
  <c r="M2351" i="7"/>
  <c r="R2357" i="7" s="1"/>
  <c r="T2350" i="7"/>
  <c r="Q2350" i="7"/>
  <c r="H2349" i="7"/>
  <c r="U2337" i="7"/>
  <c r="G2337" i="7"/>
  <c r="B2336" i="7"/>
  <c r="B2337" i="7" s="1"/>
  <c r="F2337" i="7" s="1"/>
  <c r="F2335" i="7"/>
  <c r="B2335" i="7"/>
  <c r="R2334" i="7"/>
  <c r="F2334" i="7"/>
  <c r="Q2333" i="7"/>
  <c r="B2333" i="7"/>
  <c r="F2333" i="7" s="1"/>
  <c r="Q2332" i="7"/>
  <c r="F2332" i="7"/>
  <c r="B2332" i="7"/>
  <c r="U2331" i="7"/>
  <c r="Q2331" i="7" s="1"/>
  <c r="G2331" i="7"/>
  <c r="F2331" i="7"/>
  <c r="E2331" i="7" s="1"/>
  <c r="E2332" i="7" s="1"/>
  <c r="U2330" i="7"/>
  <c r="Q2330" i="7" s="1"/>
  <c r="G2329" i="7"/>
  <c r="F2329" i="7"/>
  <c r="E2329" i="7"/>
  <c r="E2328" i="7" s="1"/>
  <c r="U2327" i="7"/>
  <c r="Q2327" i="7" s="1"/>
  <c r="U2326" i="7"/>
  <c r="Q2326" i="7" s="1"/>
  <c r="B2326" i="7"/>
  <c r="B2327" i="7" s="1"/>
  <c r="U2325" i="7"/>
  <c r="Q2325" i="7" s="1"/>
  <c r="F2325" i="7"/>
  <c r="U2324" i="7"/>
  <c r="B2324" i="7"/>
  <c r="M2318" i="7"/>
  <c r="T2317" i="7"/>
  <c r="Q2317" i="7"/>
  <c r="H2316" i="7"/>
  <c r="U2304" i="7"/>
  <c r="G2304" i="7"/>
  <c r="B2302" i="7"/>
  <c r="R2301" i="7"/>
  <c r="F2301" i="7"/>
  <c r="U2300" i="7"/>
  <c r="Q2300" i="7" s="1"/>
  <c r="B2300" i="7"/>
  <c r="U2299" i="7"/>
  <c r="Q2299" i="7" s="1"/>
  <c r="U2298" i="7"/>
  <c r="Q2298" i="7" s="1"/>
  <c r="G2298" i="7"/>
  <c r="F2298" i="7"/>
  <c r="U2297" i="7"/>
  <c r="Q2297" i="7" s="1"/>
  <c r="G2296" i="7"/>
  <c r="F2296" i="7"/>
  <c r="U2294" i="7"/>
  <c r="Q2294" i="7" s="1"/>
  <c r="U2293" i="7"/>
  <c r="Q2293" i="7" s="1"/>
  <c r="B2293" i="7"/>
  <c r="F2293" i="7" s="1"/>
  <c r="Q2292" i="7"/>
  <c r="F2292" i="7"/>
  <c r="U2291" i="7"/>
  <c r="B2291" i="7"/>
  <c r="F2291" i="7" s="1"/>
  <c r="T2284" i="7"/>
  <c r="Q2284" i="7"/>
  <c r="H2283" i="7"/>
  <c r="U2271" i="7"/>
  <c r="G2271" i="7"/>
  <c r="B2270" i="7"/>
  <c r="F2270" i="7" s="1"/>
  <c r="B2269" i="7"/>
  <c r="F2269" i="7" s="1"/>
  <c r="R2268" i="7"/>
  <c r="F2268" i="7"/>
  <c r="Q2267" i="7"/>
  <c r="F2267" i="7"/>
  <c r="B2267" i="7"/>
  <c r="Q2266" i="7"/>
  <c r="B2266" i="7"/>
  <c r="F2266" i="7" s="1"/>
  <c r="Q2265" i="7"/>
  <c r="G2265" i="7"/>
  <c r="F2265" i="7"/>
  <c r="E2265" i="7" s="1"/>
  <c r="E2266" i="7" s="1"/>
  <c r="Q2264" i="7"/>
  <c r="G2263" i="7"/>
  <c r="F2263" i="7"/>
  <c r="Q2261" i="7"/>
  <c r="Q2260" i="7"/>
  <c r="B2260" i="7"/>
  <c r="F2260" i="7" s="1"/>
  <c r="F2251" i="7" s="1"/>
  <c r="E2251" i="7" s="1"/>
  <c r="U2259" i="7"/>
  <c r="Q2259" i="7" s="1"/>
  <c r="F2259" i="7"/>
  <c r="U2258" i="7"/>
  <c r="Q2258" i="7" s="1"/>
  <c r="F2258" i="7"/>
  <c r="B2258" i="7"/>
  <c r="B2257" i="7"/>
  <c r="F2257" i="7" s="1"/>
  <c r="T2251" i="7"/>
  <c r="Q2251" i="7"/>
  <c r="M2250" i="7"/>
  <c r="M2252" i="7" s="1"/>
  <c r="H2250" i="7"/>
  <c r="T2238" i="7"/>
  <c r="G2238" i="7"/>
  <c r="B2237" i="7"/>
  <c r="B2238" i="7" s="1"/>
  <c r="F2238" i="7" s="1"/>
  <c r="F2236" i="7"/>
  <c r="B2236" i="7"/>
  <c r="S2235" i="7"/>
  <c r="F2235" i="7"/>
  <c r="Q2234" i="7"/>
  <c r="B2234" i="7"/>
  <c r="F2234" i="7" s="1"/>
  <c r="Q2233" i="7"/>
  <c r="Q2232" i="7"/>
  <c r="G2232" i="7"/>
  <c r="F2232" i="7"/>
  <c r="Q2231" i="7"/>
  <c r="G2230" i="7"/>
  <c r="F2230" i="7"/>
  <c r="E2230" i="7" s="1"/>
  <c r="E2229" i="7" s="1"/>
  <c r="S2229" i="7"/>
  <c r="Q2228" i="7"/>
  <c r="Q2227" i="7"/>
  <c r="B2227" i="7"/>
  <c r="B2228" i="7" s="1"/>
  <c r="Q2226" i="7"/>
  <c r="F2226" i="7"/>
  <c r="Q2225" i="7"/>
  <c r="F2225" i="7"/>
  <c r="B2225" i="7"/>
  <c r="B2224" i="7" s="1"/>
  <c r="F2224" i="7" s="1"/>
  <c r="T2218" i="7"/>
  <c r="Q2218" i="7"/>
  <c r="M2217" i="7"/>
  <c r="M2219" i="7" s="1"/>
  <c r="H2217" i="7"/>
  <c r="T2205" i="7"/>
  <c r="G2205" i="7"/>
  <c r="B2203" i="7"/>
  <c r="B2204" i="7" s="1"/>
  <c r="S2202" i="7"/>
  <c r="F2202" i="7"/>
  <c r="Q2201" i="7"/>
  <c r="B2201" i="7"/>
  <c r="F2201" i="7" s="1"/>
  <c r="Q2200" i="7"/>
  <c r="B2200" i="7"/>
  <c r="F2200" i="7" s="1"/>
  <c r="Q2199" i="7"/>
  <c r="G2199" i="7"/>
  <c r="F2199" i="7"/>
  <c r="E2199" i="7" s="1"/>
  <c r="E2200" i="7" s="1"/>
  <c r="Q2198" i="7"/>
  <c r="G2197" i="7"/>
  <c r="F2197" i="7"/>
  <c r="E2197" i="7" s="1"/>
  <c r="E2196" i="7" s="1"/>
  <c r="S2196" i="7"/>
  <c r="Q2195" i="7"/>
  <c r="Q2194" i="7"/>
  <c r="B2194" i="7"/>
  <c r="B2195" i="7" s="1"/>
  <c r="Q2193" i="7"/>
  <c r="F2193" i="7"/>
  <c r="Q2192" i="7"/>
  <c r="F2192" i="7"/>
  <c r="B2192" i="7"/>
  <c r="B2191" i="7"/>
  <c r="F2191" i="7" s="1"/>
  <c r="T2185" i="7"/>
  <c r="Q2185" i="7"/>
  <c r="M2184" i="7"/>
  <c r="H2184" i="7"/>
  <c r="T2172" i="7"/>
  <c r="G2172" i="7"/>
  <c r="B2170" i="7"/>
  <c r="B2171" i="7" s="1"/>
  <c r="S2169" i="7"/>
  <c r="F2169" i="7"/>
  <c r="Q2168" i="7"/>
  <c r="B2168" i="7"/>
  <c r="F2168" i="7" s="1"/>
  <c r="Q2167" i="7"/>
  <c r="Q2166" i="7"/>
  <c r="G2166" i="7"/>
  <c r="F2166" i="7"/>
  <c r="E2166" i="7" s="1"/>
  <c r="E2167" i="7" s="1"/>
  <c r="Q2165" i="7"/>
  <c r="G2164" i="7"/>
  <c r="F2164" i="7"/>
  <c r="E2164" i="7" s="1"/>
  <c r="E2163" i="7" s="1"/>
  <c r="S2163" i="7"/>
  <c r="Q2162" i="7"/>
  <c r="Q2161" i="7"/>
  <c r="B2161" i="7"/>
  <c r="F2161" i="7" s="1"/>
  <c r="Q2160" i="7"/>
  <c r="F2160" i="7"/>
  <c r="Q2159" i="7"/>
  <c r="B2159" i="7"/>
  <c r="B2158" i="7" s="1"/>
  <c r="F2158" i="7" s="1"/>
  <c r="G2158" i="7"/>
  <c r="T2152" i="7"/>
  <c r="Q2152" i="7"/>
  <c r="M2151" i="7"/>
  <c r="M2153" i="7" s="1"/>
  <c r="V2172" i="7" s="1"/>
  <c r="H2151" i="7"/>
  <c r="T2139" i="7"/>
  <c r="G2139" i="7"/>
  <c r="B2138" i="7"/>
  <c r="F2138" i="7" s="1"/>
  <c r="B2137" i="7"/>
  <c r="F2137" i="7" s="1"/>
  <c r="S2136" i="7"/>
  <c r="F2136" i="7"/>
  <c r="Q2135" i="7"/>
  <c r="F2135" i="7"/>
  <c r="B2135" i="7"/>
  <c r="Q2134" i="7"/>
  <c r="B2134" i="7"/>
  <c r="F2134" i="7" s="1"/>
  <c r="Q2133" i="7"/>
  <c r="G2133" i="7"/>
  <c r="F2133" i="7"/>
  <c r="E2133" i="7" s="1"/>
  <c r="Q2132" i="7"/>
  <c r="G2131" i="7"/>
  <c r="E2131" i="7" s="1"/>
  <c r="F2131" i="7"/>
  <c r="S2130" i="7"/>
  <c r="Q2129" i="7"/>
  <c r="Q2128" i="7"/>
  <c r="B2128" i="7"/>
  <c r="B2129" i="7" s="1"/>
  <c r="Q2127" i="7"/>
  <c r="F2127" i="7"/>
  <c r="Q2126" i="7"/>
  <c r="B2126" i="7"/>
  <c r="F2126" i="7" s="1"/>
  <c r="B2125" i="7"/>
  <c r="F2125" i="7" s="1"/>
  <c r="T2119" i="7"/>
  <c r="Q2119" i="7"/>
  <c r="M2118" i="7"/>
  <c r="M2120" i="7" s="1"/>
  <c r="H2118" i="7"/>
  <c r="T2106" i="7"/>
  <c r="G2106" i="7"/>
  <c r="B2104" i="7"/>
  <c r="B2105" i="7" s="1"/>
  <c r="S2103" i="7"/>
  <c r="F2103" i="7"/>
  <c r="Q2102" i="7"/>
  <c r="B2102" i="7"/>
  <c r="F2102" i="7" s="1"/>
  <c r="Q2101" i="7"/>
  <c r="Q2100" i="7"/>
  <c r="G2100" i="7"/>
  <c r="F2100" i="7"/>
  <c r="Q2099" i="7"/>
  <c r="G2098" i="7"/>
  <c r="F2098" i="7"/>
  <c r="E2098" i="7"/>
  <c r="S2097" i="7"/>
  <c r="Q2096" i="7"/>
  <c r="B2096" i="7"/>
  <c r="F2096" i="7" s="1"/>
  <c r="Q2095" i="7"/>
  <c r="B2095" i="7"/>
  <c r="F2095" i="7" s="1"/>
  <c r="Q2094" i="7"/>
  <c r="F2094" i="7"/>
  <c r="Q2093" i="7"/>
  <c r="R2097" i="7" s="1"/>
  <c r="B2093" i="7"/>
  <c r="F2093" i="7" s="1"/>
  <c r="G2092" i="7"/>
  <c r="M2087" i="7"/>
  <c r="T2086" i="7"/>
  <c r="Q2086" i="7"/>
  <c r="M2085" i="7"/>
  <c r="H2085" i="7"/>
  <c r="T2073" i="7"/>
  <c r="G2072" i="7"/>
  <c r="B2072" i="7"/>
  <c r="F2072" i="7" s="1"/>
  <c r="F2071" i="7"/>
  <c r="B2071" i="7"/>
  <c r="S2070" i="7"/>
  <c r="F2070" i="7"/>
  <c r="Q2069" i="7"/>
  <c r="B2069" i="7"/>
  <c r="Q2068" i="7"/>
  <c r="Q2067" i="7"/>
  <c r="G2067" i="7"/>
  <c r="F2067" i="7"/>
  <c r="E2067" i="7" s="1"/>
  <c r="Q2066" i="7"/>
  <c r="G2065" i="7"/>
  <c r="F2065" i="7"/>
  <c r="S2064" i="7"/>
  <c r="Q2063" i="7"/>
  <c r="Q2062" i="7"/>
  <c r="B2062" i="7"/>
  <c r="Q2061" i="7"/>
  <c r="F2061" i="7"/>
  <c r="Q2060" i="7"/>
  <c r="B2060" i="7"/>
  <c r="F2060" i="7" s="1"/>
  <c r="G2059" i="7"/>
  <c r="G2073" i="7" s="1"/>
  <c r="B2059" i="7"/>
  <c r="F2059" i="7" s="1"/>
  <c r="T2053" i="7"/>
  <c r="Q2053" i="7"/>
  <c r="M2052" i="7"/>
  <c r="H2052" i="7"/>
  <c r="T2040" i="7"/>
  <c r="G2040" i="7"/>
  <c r="F2039" i="7"/>
  <c r="B2039" i="7"/>
  <c r="B2040" i="7" s="1"/>
  <c r="F2040" i="7" s="1"/>
  <c r="B2038" i="7"/>
  <c r="F2038" i="7" s="1"/>
  <c r="S2037" i="7"/>
  <c r="F2037" i="7"/>
  <c r="Q2036" i="7"/>
  <c r="F2036" i="7"/>
  <c r="B2036" i="7"/>
  <c r="Q2035" i="7"/>
  <c r="F2035" i="7"/>
  <c r="B2035" i="7"/>
  <c r="Q2034" i="7"/>
  <c r="G2034" i="7"/>
  <c r="F2034" i="7"/>
  <c r="E2034" i="7" s="1"/>
  <c r="Q2033" i="7"/>
  <c r="G2032" i="7"/>
  <c r="F2032" i="7"/>
  <c r="S2031" i="7"/>
  <c r="Q2030" i="7"/>
  <c r="B2030" i="7"/>
  <c r="B2031" i="7" s="1"/>
  <c r="F2031" i="7" s="1"/>
  <c r="Q2029" i="7"/>
  <c r="B2029" i="7"/>
  <c r="F2029" i="7" s="1"/>
  <c r="Q2028" i="7"/>
  <c r="F2028" i="7"/>
  <c r="Q2027" i="7"/>
  <c r="G2027" i="7"/>
  <c r="B2027" i="7"/>
  <c r="G2026" i="7"/>
  <c r="T2020" i="7"/>
  <c r="Q2020" i="7"/>
  <c r="M2019" i="7"/>
  <c r="H2019" i="7"/>
  <c r="T2007" i="7"/>
  <c r="G2007" i="7"/>
  <c r="G2006" i="7" s="1"/>
  <c r="B2005" i="7"/>
  <c r="F2005" i="7" s="1"/>
  <c r="S2004" i="7"/>
  <c r="F2004" i="7"/>
  <c r="Q2003" i="7"/>
  <c r="F2003" i="7"/>
  <c r="B2003" i="7"/>
  <c r="Q2002" i="7"/>
  <c r="B2002" i="7"/>
  <c r="F2002" i="7" s="1"/>
  <c r="Q2001" i="7"/>
  <c r="G2001" i="7"/>
  <c r="F2001" i="7"/>
  <c r="E2001" i="7" s="1"/>
  <c r="Q2000" i="7"/>
  <c r="G1999" i="7"/>
  <c r="E1999" i="7" s="1"/>
  <c r="F1999" i="7"/>
  <c r="S1998" i="7"/>
  <c r="Q1997" i="7"/>
  <c r="Q1996" i="7"/>
  <c r="B1996" i="7"/>
  <c r="B1997" i="7" s="1"/>
  <c r="Q1995" i="7"/>
  <c r="F1995" i="7"/>
  <c r="Q1994" i="7"/>
  <c r="B1994" i="7"/>
  <c r="F1994" i="7" s="1"/>
  <c r="T1987" i="7"/>
  <c r="Q1987" i="7"/>
  <c r="M1986" i="7"/>
  <c r="M1988" i="7" s="1"/>
  <c r="V2007" i="7" s="1"/>
  <c r="H1986" i="7"/>
  <c r="T1974" i="7"/>
  <c r="G1974" i="7"/>
  <c r="F1972" i="7"/>
  <c r="B1972" i="7"/>
  <c r="B1973" i="7" s="1"/>
  <c r="F1973" i="7" s="1"/>
  <c r="S1971" i="7"/>
  <c r="F1971" i="7"/>
  <c r="Q1970" i="7"/>
  <c r="B1970" i="7"/>
  <c r="Q1969" i="7"/>
  <c r="Q1968" i="7"/>
  <c r="G1968" i="7"/>
  <c r="F1968" i="7"/>
  <c r="E1968" i="7"/>
  <c r="Q1967" i="7"/>
  <c r="G1966" i="7"/>
  <c r="F1966" i="7"/>
  <c r="S1965" i="7"/>
  <c r="Q1964" i="7"/>
  <c r="Q1963" i="7"/>
  <c r="B1963" i="7"/>
  <c r="Q1962" i="7"/>
  <c r="F1962" i="7"/>
  <c r="Q1961" i="7"/>
  <c r="B1961" i="7"/>
  <c r="F1961" i="7" s="1"/>
  <c r="G1960" i="7"/>
  <c r="B1960" i="7"/>
  <c r="F1960" i="7" s="1"/>
  <c r="T1954" i="7"/>
  <c r="Q1954" i="7"/>
  <c r="M1953" i="7"/>
  <c r="M1955" i="7" s="1"/>
  <c r="H1953" i="7"/>
  <c r="I1942" i="7"/>
  <c r="H1942" i="7"/>
  <c r="T1941" i="7"/>
  <c r="G1941" i="7"/>
  <c r="B1939" i="7"/>
  <c r="B1940" i="7" s="1"/>
  <c r="F1940" i="7" s="1"/>
  <c r="S1938" i="7"/>
  <c r="F1938" i="7"/>
  <c r="Q1937" i="7"/>
  <c r="B1937" i="7"/>
  <c r="Q1936" i="7"/>
  <c r="Q1935" i="7"/>
  <c r="G1935" i="7"/>
  <c r="E1935" i="7" s="1"/>
  <c r="F1935" i="7"/>
  <c r="Q1934" i="7"/>
  <c r="G1933" i="7"/>
  <c r="F1933" i="7"/>
  <c r="E1933" i="7" s="1"/>
  <c r="S1932" i="7"/>
  <c r="Q1931" i="7"/>
  <c r="Q1930" i="7"/>
  <c r="B1930" i="7"/>
  <c r="Q1929" i="7"/>
  <c r="F1929" i="7"/>
  <c r="Q1928" i="7"/>
  <c r="F1928" i="7"/>
  <c r="B1928" i="7"/>
  <c r="B1927" i="7" s="1"/>
  <c r="F1927" i="7" s="1"/>
  <c r="G1927" i="7"/>
  <c r="M1922" i="7"/>
  <c r="T1921" i="7"/>
  <c r="Q1921" i="7"/>
  <c r="M1920" i="7"/>
  <c r="H1920" i="7"/>
  <c r="T1908" i="7"/>
  <c r="G1908" i="7"/>
  <c r="F1907" i="7"/>
  <c r="B1907" i="7"/>
  <c r="B1908" i="7" s="1"/>
  <c r="F1908" i="7" s="1"/>
  <c r="F1906" i="7"/>
  <c r="B1906" i="7"/>
  <c r="S1905" i="7"/>
  <c r="F1905" i="7"/>
  <c r="Q1904" i="7"/>
  <c r="B1904" i="7"/>
  <c r="Q1903" i="7"/>
  <c r="Q1902" i="7"/>
  <c r="G1902" i="7"/>
  <c r="E1902" i="7" s="1"/>
  <c r="F1902" i="7"/>
  <c r="Q1901" i="7"/>
  <c r="G1900" i="7"/>
  <c r="F1900" i="7"/>
  <c r="E1900" i="7" s="1"/>
  <c r="S1899" i="7"/>
  <c r="Q1898" i="7"/>
  <c r="Q1897" i="7"/>
  <c r="B1897" i="7"/>
  <c r="Q1896" i="7"/>
  <c r="F1896" i="7"/>
  <c r="Q1895" i="7"/>
  <c r="F1895" i="7"/>
  <c r="B1895" i="7"/>
  <c r="G1894" i="7"/>
  <c r="B1894" i="7"/>
  <c r="F1894" i="7" s="1"/>
  <c r="M1889" i="7"/>
  <c r="T1888" i="7"/>
  <c r="Q1888" i="7"/>
  <c r="M1887" i="7"/>
  <c r="H1887" i="7"/>
  <c r="H1876" i="7"/>
  <c r="T1875" i="7"/>
  <c r="G1875" i="7"/>
  <c r="F1875" i="7"/>
  <c r="F1873" i="7"/>
  <c r="B1873" i="7"/>
  <c r="B1874" i="7" s="1"/>
  <c r="B1875" i="7" s="1"/>
  <c r="S1872" i="7"/>
  <c r="F1872" i="7"/>
  <c r="Q1871" i="7"/>
  <c r="B1871" i="7"/>
  <c r="Q1870" i="7"/>
  <c r="Q1869" i="7"/>
  <c r="G1869" i="7"/>
  <c r="F1869" i="7"/>
  <c r="Q1868" i="7"/>
  <c r="G1867" i="7"/>
  <c r="F1867" i="7"/>
  <c r="E1867" i="7" s="1"/>
  <c r="S1866" i="7"/>
  <c r="Q1865" i="7"/>
  <c r="Q1864" i="7"/>
  <c r="B1864" i="7"/>
  <c r="Q1863" i="7"/>
  <c r="F1863" i="7"/>
  <c r="Q1862" i="7"/>
  <c r="G1862" i="7"/>
  <c r="G1861" i="7" s="1"/>
  <c r="B1862" i="7"/>
  <c r="T1855" i="7"/>
  <c r="Q1855" i="7"/>
  <c r="M1854" i="7"/>
  <c r="M1856" i="7" s="1"/>
  <c r="V1875" i="7" s="1"/>
  <c r="H1854" i="7"/>
  <c r="T1842" i="7"/>
  <c r="G1842" i="7"/>
  <c r="F1841" i="7"/>
  <c r="B1841" i="7"/>
  <c r="B1842" i="7" s="1"/>
  <c r="F1842" i="7" s="1"/>
  <c r="F1840" i="7"/>
  <c r="B1840" i="7"/>
  <c r="S1839" i="7"/>
  <c r="F1839" i="7"/>
  <c r="Q1838" i="7"/>
  <c r="B1838" i="7"/>
  <c r="Q1837" i="7"/>
  <c r="Q1836" i="7"/>
  <c r="G1836" i="7"/>
  <c r="F1836" i="7"/>
  <c r="Q1835" i="7"/>
  <c r="G1834" i="7"/>
  <c r="F1834" i="7"/>
  <c r="E1834" i="7" s="1"/>
  <c r="S1833" i="7"/>
  <c r="Q1832" i="7"/>
  <c r="Q1831" i="7"/>
  <c r="B1831" i="7"/>
  <c r="Q1830" i="7"/>
  <c r="F1830" i="7"/>
  <c r="Q1829" i="7"/>
  <c r="G1829" i="7"/>
  <c r="G1828" i="7" s="1"/>
  <c r="B1829" i="7"/>
  <c r="T1822" i="7"/>
  <c r="Q1822" i="7"/>
  <c r="M1821" i="7"/>
  <c r="H1821" i="7"/>
  <c r="I1810" i="7"/>
  <c r="H1810" i="7"/>
  <c r="T1809" i="7"/>
  <c r="G1809" i="7"/>
  <c r="G1808" i="7"/>
  <c r="B1807" i="7"/>
  <c r="S1806" i="7"/>
  <c r="F1806" i="7"/>
  <c r="Q1805" i="7"/>
  <c r="B1805" i="7"/>
  <c r="B1804" i="7" s="1"/>
  <c r="F1804" i="7" s="1"/>
  <c r="Q1804" i="7"/>
  <c r="E1804" i="7"/>
  <c r="E1805" i="7" s="1"/>
  <c r="Q1803" i="7"/>
  <c r="G1803" i="7"/>
  <c r="E1803" i="7" s="1"/>
  <c r="F1803" i="7"/>
  <c r="Q1802" i="7"/>
  <c r="H1801" i="7"/>
  <c r="G1801" i="7"/>
  <c r="F1801" i="7"/>
  <c r="E1801" i="7"/>
  <c r="E1800" i="7" s="1"/>
  <c r="S1800" i="7"/>
  <c r="G1800" i="7"/>
  <c r="Q1799" i="7"/>
  <c r="Q1798" i="7"/>
  <c r="B1798" i="7"/>
  <c r="F1798" i="7" s="1"/>
  <c r="Q1797" i="7"/>
  <c r="F1797" i="7"/>
  <c r="Q1796" i="7"/>
  <c r="G1796" i="7"/>
  <c r="G1795" i="7" s="1"/>
  <c r="B1796" i="7"/>
  <c r="F1796" i="7" s="1"/>
  <c r="B1795" i="7"/>
  <c r="F1795" i="7" s="1"/>
  <c r="F1793" i="7" s="1"/>
  <c r="T1789" i="7"/>
  <c r="Q1789" i="7"/>
  <c r="M1788" i="7"/>
  <c r="M1790" i="7" s="1"/>
  <c r="H1788" i="7"/>
  <c r="T1776" i="7"/>
  <c r="G1776" i="7"/>
  <c r="G1775" i="7" s="1"/>
  <c r="B1776" i="7"/>
  <c r="F1776" i="7" s="1"/>
  <c r="B1774" i="7"/>
  <c r="B1775" i="7" s="1"/>
  <c r="F1775" i="7" s="1"/>
  <c r="S1773" i="7"/>
  <c r="F1773" i="7"/>
  <c r="Q1772" i="7"/>
  <c r="B1772" i="7"/>
  <c r="Q1771" i="7"/>
  <c r="E1771" i="7"/>
  <c r="Q1770" i="7"/>
  <c r="G1770" i="7"/>
  <c r="E1770" i="7" s="1"/>
  <c r="F1770" i="7"/>
  <c r="Q1769" i="7"/>
  <c r="G1768" i="7"/>
  <c r="F1768" i="7"/>
  <c r="E1768" i="7" s="1"/>
  <c r="E1767" i="7" s="1"/>
  <c r="S1767" i="7"/>
  <c r="G1767" i="7"/>
  <c r="Q1766" i="7"/>
  <c r="Q1765" i="7"/>
  <c r="B1765" i="7"/>
  <c r="Q1764" i="7"/>
  <c r="F1764" i="7"/>
  <c r="Q1763" i="7"/>
  <c r="G1763" i="7"/>
  <c r="G1762" i="7" s="1"/>
  <c r="B1763" i="7"/>
  <c r="T1756" i="7"/>
  <c r="Q1756" i="7"/>
  <c r="M1755" i="7"/>
  <c r="M1757" i="7" s="1"/>
  <c r="H1755" i="7"/>
  <c r="T1743" i="7"/>
  <c r="G1742" i="7"/>
  <c r="G1743" i="7" s="1"/>
  <c r="B1741" i="7"/>
  <c r="F1741" i="7" s="1"/>
  <c r="S1740" i="7"/>
  <c r="F1740" i="7"/>
  <c r="Q1739" i="7"/>
  <c r="F1739" i="7"/>
  <c r="B1739" i="7"/>
  <c r="B1738" i="7" s="1"/>
  <c r="F1738" i="7" s="1"/>
  <c r="Q1738" i="7"/>
  <c r="Q1737" i="7"/>
  <c r="G1737" i="7"/>
  <c r="F1737" i="7"/>
  <c r="Q1736" i="7"/>
  <c r="G1735" i="7"/>
  <c r="E1735" i="7" s="1"/>
  <c r="E1734" i="7" s="1"/>
  <c r="F1735" i="7"/>
  <c r="S1734" i="7"/>
  <c r="Q1733" i="7"/>
  <c r="Q1732" i="7"/>
  <c r="B1732" i="7"/>
  <c r="F1732" i="7" s="1"/>
  <c r="F1723" i="7" s="1"/>
  <c r="E1723" i="7" s="1"/>
  <c r="Q1731" i="7"/>
  <c r="F1731" i="7"/>
  <c r="Q1730" i="7"/>
  <c r="G1730" i="7"/>
  <c r="B1730" i="7"/>
  <c r="F1730" i="7" s="1"/>
  <c r="G1729" i="7"/>
  <c r="B1729" i="7"/>
  <c r="F1729" i="7" s="1"/>
  <c r="T1723" i="7"/>
  <c r="Q1723" i="7"/>
  <c r="M1722" i="7"/>
  <c r="M1724" i="7" s="1"/>
  <c r="H1722" i="7"/>
  <c r="T1710" i="7"/>
  <c r="G1710" i="7"/>
  <c r="G1709" i="7" s="1"/>
  <c r="B1708" i="7"/>
  <c r="F1708" i="7" s="1"/>
  <c r="S1707" i="7"/>
  <c r="F1707" i="7"/>
  <c r="Q1706" i="7"/>
  <c r="B1706" i="7"/>
  <c r="Q1705" i="7"/>
  <c r="Q1704" i="7"/>
  <c r="G1704" i="7"/>
  <c r="F1704" i="7"/>
  <c r="Q1703" i="7"/>
  <c r="G1702" i="7"/>
  <c r="F1702" i="7"/>
  <c r="S1701" i="7"/>
  <c r="Q1700" i="7"/>
  <c r="Q1699" i="7"/>
  <c r="B1699" i="7"/>
  <c r="Q1698" i="7"/>
  <c r="F1698" i="7"/>
  <c r="Q1697" i="7"/>
  <c r="G1697" i="7"/>
  <c r="B1697" i="7"/>
  <c r="G1696" i="7"/>
  <c r="T1690" i="7"/>
  <c r="Q1690" i="7"/>
  <c r="M1689" i="7"/>
  <c r="H1689" i="7"/>
  <c r="T1677" i="7"/>
  <c r="B1675" i="7"/>
  <c r="F1675" i="7" s="1"/>
  <c r="S1674" i="7"/>
  <c r="F1674" i="7"/>
  <c r="Q1673" i="7"/>
  <c r="B1673" i="7"/>
  <c r="F1673" i="7" s="1"/>
  <c r="Q1672" i="7"/>
  <c r="Q1671" i="7"/>
  <c r="G1671" i="7"/>
  <c r="G1672" i="7" s="1"/>
  <c r="F1671" i="7"/>
  <c r="Q1670" i="7"/>
  <c r="G1669" i="7"/>
  <c r="F1669" i="7"/>
  <c r="G1668" i="7" s="1"/>
  <c r="S1668" i="7"/>
  <c r="Q1667" i="7"/>
  <c r="B1667" i="7"/>
  <c r="Q1666" i="7"/>
  <c r="F1666" i="7"/>
  <c r="B1666" i="7"/>
  <c r="Q1665" i="7"/>
  <c r="F1665" i="7"/>
  <c r="Q1664" i="7"/>
  <c r="B1664" i="7"/>
  <c r="F1664" i="7" s="1"/>
  <c r="M1658" i="7"/>
  <c r="T1657" i="7"/>
  <c r="Q1657" i="7"/>
  <c r="M1656" i="7"/>
  <c r="H1656" i="7"/>
  <c r="T1644" i="7"/>
  <c r="B1643" i="7"/>
  <c r="B1644" i="7" s="1"/>
  <c r="F1644" i="7" s="1"/>
  <c r="F1642" i="7"/>
  <c r="B1642" i="7"/>
  <c r="S1641" i="7"/>
  <c r="F1641" i="7"/>
  <c r="Q1640" i="7"/>
  <c r="B1640" i="7"/>
  <c r="Q1639" i="7"/>
  <c r="Q1638" i="7"/>
  <c r="G1638" i="7"/>
  <c r="E1638" i="7" s="1"/>
  <c r="E1639" i="7" s="1"/>
  <c r="F1638" i="7"/>
  <c r="Q1637" i="7"/>
  <c r="G1636" i="7"/>
  <c r="F1636" i="7"/>
  <c r="S1635" i="7"/>
  <c r="Q1634" i="7"/>
  <c r="Q1633" i="7"/>
  <c r="B1633" i="7"/>
  <c r="Q1632" i="7"/>
  <c r="F1632" i="7"/>
  <c r="Q1631" i="7"/>
  <c r="F1631" i="7"/>
  <c r="B1631" i="7"/>
  <c r="B1630" i="7" s="1"/>
  <c r="F1630" i="7" s="1"/>
  <c r="T1624" i="7"/>
  <c r="Q1624" i="7"/>
  <c r="M1623" i="7"/>
  <c r="M1625" i="7" s="1"/>
  <c r="H1623" i="7"/>
  <c r="T1611" i="7"/>
  <c r="B1609" i="7"/>
  <c r="F1609" i="7" s="1"/>
  <c r="S1608" i="7"/>
  <c r="F1608" i="7"/>
  <c r="Q1607" i="7"/>
  <c r="F1607" i="7"/>
  <c r="B1607" i="7"/>
  <c r="Q1606" i="7"/>
  <c r="B1606" i="7"/>
  <c r="F1606" i="7" s="1"/>
  <c r="Q1605" i="7"/>
  <c r="G1605" i="7"/>
  <c r="F1605" i="7"/>
  <c r="Q1604" i="7"/>
  <c r="G1603" i="7"/>
  <c r="E1603" i="7" s="1"/>
  <c r="E1602" i="7" s="1"/>
  <c r="F1603" i="7"/>
  <c r="S1602" i="7"/>
  <c r="G1602" i="7"/>
  <c r="Q1601" i="7"/>
  <c r="Q1600" i="7"/>
  <c r="F1600" i="7"/>
  <c r="F1591" i="7" s="1"/>
  <c r="E1591" i="7" s="1"/>
  <c r="B1600" i="7"/>
  <c r="B1601" i="7" s="1"/>
  <c r="Q1599" i="7"/>
  <c r="F1599" i="7"/>
  <c r="Q1598" i="7"/>
  <c r="B1598" i="7"/>
  <c r="F1598" i="7" s="1"/>
  <c r="T1591" i="7"/>
  <c r="Q1591" i="7"/>
  <c r="M1590" i="7"/>
  <c r="M1592" i="7" s="1"/>
  <c r="H1590" i="7"/>
  <c r="T1578" i="7"/>
  <c r="B1576" i="7"/>
  <c r="B1577" i="7" s="1"/>
  <c r="S1575" i="7"/>
  <c r="F1575" i="7"/>
  <c r="Q1574" i="7"/>
  <c r="B1574" i="7"/>
  <c r="F1574" i="7" s="1"/>
  <c r="Q1573" i="7"/>
  <c r="Q1572" i="7"/>
  <c r="G1572" i="7"/>
  <c r="F1572" i="7"/>
  <c r="Q1571" i="7"/>
  <c r="G1570" i="7"/>
  <c r="F1570" i="7"/>
  <c r="S1569" i="7"/>
  <c r="Q1568" i="7"/>
  <c r="Q1567" i="7"/>
  <c r="F1567" i="7"/>
  <c r="B1567" i="7"/>
  <c r="B1568" i="7" s="1"/>
  <c r="F1568" i="7" s="1"/>
  <c r="Q1566" i="7"/>
  <c r="F1566" i="7"/>
  <c r="Q1565" i="7"/>
  <c r="B1565" i="7"/>
  <c r="B1564" i="7" s="1"/>
  <c r="F1564" i="7" s="1"/>
  <c r="T1558" i="7"/>
  <c r="Q1558" i="7"/>
  <c r="M1557" i="7"/>
  <c r="M1559" i="7" s="1"/>
  <c r="H1557" i="7"/>
  <c r="T1545" i="7"/>
  <c r="V1545" i="7" s="1"/>
  <c r="B1543" i="7"/>
  <c r="F1543" i="7" s="1"/>
  <c r="S1542" i="7"/>
  <c r="F1542" i="7"/>
  <c r="Q1541" i="7"/>
  <c r="B1541" i="7"/>
  <c r="B1540" i="7" s="1"/>
  <c r="F1540" i="7" s="1"/>
  <c r="Q1540" i="7"/>
  <c r="Q1539" i="7"/>
  <c r="G1539" i="7"/>
  <c r="G1540" i="7" s="1"/>
  <c r="F1539" i="7"/>
  <c r="E1539" i="7" s="1"/>
  <c r="E1540" i="7" s="1"/>
  <c r="Q1538" i="7"/>
  <c r="G1537" i="7"/>
  <c r="G1538" i="7" s="1"/>
  <c r="F1537" i="7"/>
  <c r="S1536" i="7"/>
  <c r="Q1535" i="7"/>
  <c r="Q1534" i="7"/>
  <c r="B1534" i="7"/>
  <c r="B1535" i="7" s="1"/>
  <c r="Q1533" i="7"/>
  <c r="F1533" i="7"/>
  <c r="Q1532" i="7"/>
  <c r="F1532" i="7"/>
  <c r="B1532" i="7"/>
  <c r="B1531" i="7"/>
  <c r="F1531" i="7" s="1"/>
  <c r="T1525" i="7"/>
  <c r="Q1525" i="7"/>
  <c r="H1524" i="7"/>
  <c r="T1512" i="7"/>
  <c r="B1510" i="7"/>
  <c r="B1511" i="7" s="1"/>
  <c r="S1509" i="7"/>
  <c r="F1509" i="7"/>
  <c r="Q1508" i="7"/>
  <c r="F1508" i="7"/>
  <c r="B1508" i="7"/>
  <c r="Q1507" i="7"/>
  <c r="B1507" i="7"/>
  <c r="F1507" i="7" s="1"/>
  <c r="Q1506" i="7"/>
  <c r="G1506" i="7"/>
  <c r="F1506" i="7"/>
  <c r="E1506" i="7" s="1"/>
  <c r="E1507" i="7" s="1"/>
  <c r="Q1505" i="7"/>
  <c r="R1509" i="7" s="1"/>
  <c r="M1504" i="7"/>
  <c r="I1504" i="7"/>
  <c r="G1504" i="7"/>
  <c r="F1504" i="7"/>
  <c r="E1504" i="7" s="1"/>
  <c r="E1505" i="7" s="1"/>
  <c r="S1503" i="7"/>
  <c r="Q1502" i="7"/>
  <c r="Q1501" i="7"/>
  <c r="B1501" i="7"/>
  <c r="F1501" i="7" s="1"/>
  <c r="Q1500" i="7"/>
  <c r="F1500" i="7"/>
  <c r="Q1499" i="7"/>
  <c r="F1499" i="7"/>
  <c r="B1499" i="7"/>
  <c r="B1498" i="7"/>
  <c r="F1498" i="7" s="1"/>
  <c r="T1492" i="7"/>
  <c r="Q1492" i="7"/>
  <c r="M1491" i="7"/>
  <c r="M1493" i="7" s="1"/>
  <c r="H1491" i="7"/>
  <c r="I1480" i="7"/>
  <c r="H1480" i="7"/>
  <c r="T1479" i="7"/>
  <c r="B1477" i="7"/>
  <c r="F1477" i="7" s="1"/>
  <c r="S1476" i="7"/>
  <c r="F1476" i="7"/>
  <c r="Q1475" i="7"/>
  <c r="F1475" i="7"/>
  <c r="B1475" i="7"/>
  <c r="Q1474" i="7"/>
  <c r="B1474" i="7"/>
  <c r="F1474" i="7" s="1"/>
  <c r="Q1473" i="7"/>
  <c r="G1473" i="7"/>
  <c r="F1473" i="7"/>
  <c r="Q1472" i="7"/>
  <c r="G1471" i="7"/>
  <c r="F1471" i="7"/>
  <c r="E1471" i="7"/>
  <c r="E1472" i="7" s="1"/>
  <c r="S1470" i="7"/>
  <c r="Q1469" i="7"/>
  <c r="B1469" i="7"/>
  <c r="F1469" i="7" s="1"/>
  <c r="Q1468" i="7"/>
  <c r="F1468" i="7"/>
  <c r="F1459" i="7" s="1"/>
  <c r="E1459" i="7" s="1"/>
  <c r="B1468" i="7"/>
  <c r="Q1467" i="7"/>
  <c r="F1467" i="7"/>
  <c r="Q1466" i="7"/>
  <c r="B1466" i="7"/>
  <c r="B1465" i="7" s="1"/>
  <c r="F1465" i="7" s="1"/>
  <c r="T1459" i="7"/>
  <c r="Q1459" i="7"/>
  <c r="M1459" i="7"/>
  <c r="H1458" i="7"/>
  <c r="F1447" i="7"/>
  <c r="T1446" i="7"/>
  <c r="F1444" i="7"/>
  <c r="B1444" i="7"/>
  <c r="B1445" i="7" s="1"/>
  <c r="S1443" i="7"/>
  <c r="F1443" i="7"/>
  <c r="Q1442" i="7"/>
  <c r="B1442" i="7"/>
  <c r="F1442" i="7" s="1"/>
  <c r="Q1441" i="7"/>
  <c r="B1441" i="7"/>
  <c r="F1441" i="7" s="1"/>
  <c r="Q1440" i="7"/>
  <c r="G1440" i="7"/>
  <c r="F1440" i="7"/>
  <c r="E1440" i="7" s="1"/>
  <c r="E1441" i="7" s="1"/>
  <c r="Q1439" i="7"/>
  <c r="G1438" i="7"/>
  <c r="F1438" i="7"/>
  <c r="S1437" i="7"/>
  <c r="Q1436" i="7"/>
  <c r="Q1435" i="7"/>
  <c r="B1435" i="7"/>
  <c r="F1435" i="7" s="1"/>
  <c r="Q1434" i="7"/>
  <c r="F1434" i="7"/>
  <c r="Q1433" i="7"/>
  <c r="B1433" i="7"/>
  <c r="B1432" i="7" s="1"/>
  <c r="F1432" i="7" s="1"/>
  <c r="F1430" i="7" s="1"/>
  <c r="T1426" i="7"/>
  <c r="Q1426" i="7"/>
  <c r="M1426" i="7"/>
  <c r="H1425" i="7"/>
  <c r="T1413" i="7"/>
  <c r="F1411" i="7"/>
  <c r="B1411" i="7"/>
  <c r="B1412" i="7" s="1"/>
  <c r="S1410" i="7"/>
  <c r="F1410" i="7"/>
  <c r="Q1409" i="7"/>
  <c r="B1409" i="7"/>
  <c r="F1409" i="7" s="1"/>
  <c r="Q1408" i="7"/>
  <c r="B1408" i="7"/>
  <c r="F1408" i="7" s="1"/>
  <c r="Q1407" i="7"/>
  <c r="G1407" i="7"/>
  <c r="F1407" i="7"/>
  <c r="E1407" i="7"/>
  <c r="E1408" i="7" s="1"/>
  <c r="Q1406" i="7"/>
  <c r="G1405" i="7"/>
  <c r="F1405" i="7"/>
  <c r="E1405" i="7" s="1"/>
  <c r="E1406" i="7" s="1"/>
  <c r="S1404" i="7"/>
  <c r="Q1403" i="7"/>
  <c r="Q1402" i="7"/>
  <c r="B1402" i="7"/>
  <c r="F1402" i="7" s="1"/>
  <c r="Q1401" i="7"/>
  <c r="F1401" i="7"/>
  <c r="Q1400" i="7"/>
  <c r="B1400" i="7"/>
  <c r="B1399" i="7" s="1"/>
  <c r="F1399" i="7" s="1"/>
  <c r="T1393" i="7"/>
  <c r="Q1393" i="7"/>
  <c r="M1393" i="7"/>
  <c r="H1392" i="7"/>
  <c r="T1380" i="7"/>
  <c r="G1380" i="7"/>
  <c r="B1378" i="7"/>
  <c r="B1379" i="7" s="1"/>
  <c r="S1377" i="7"/>
  <c r="F1377" i="7"/>
  <c r="Q1376" i="7"/>
  <c r="F1376" i="7"/>
  <c r="B1376" i="7"/>
  <c r="Q1375" i="7"/>
  <c r="B1375" i="7"/>
  <c r="F1375" i="7" s="1"/>
  <c r="Q1374" i="7"/>
  <c r="G1374" i="7"/>
  <c r="F1374" i="7"/>
  <c r="E1374" i="7" s="1"/>
  <c r="E1375" i="7" s="1"/>
  <c r="Q1373" i="7"/>
  <c r="G1372" i="7"/>
  <c r="E1372" i="7" s="1"/>
  <c r="E1373" i="7" s="1"/>
  <c r="F1372" i="7"/>
  <c r="S1371" i="7"/>
  <c r="Q1370" i="7"/>
  <c r="Q1369" i="7"/>
  <c r="B1369" i="7"/>
  <c r="F1369" i="7" s="1"/>
  <c r="Q1368" i="7"/>
  <c r="F1368" i="7"/>
  <c r="Q1367" i="7"/>
  <c r="B1367" i="7"/>
  <c r="F1367" i="7" s="1"/>
  <c r="T1360" i="7"/>
  <c r="Q1360" i="7"/>
  <c r="M1360" i="7"/>
  <c r="H1359" i="7"/>
  <c r="T1347" i="7"/>
  <c r="G1347" i="7"/>
  <c r="B1345" i="7"/>
  <c r="S1344" i="7"/>
  <c r="F1344" i="7"/>
  <c r="Q1343" i="7"/>
  <c r="F1343" i="7"/>
  <c r="B1343" i="7"/>
  <c r="Q1342" i="7"/>
  <c r="B1342" i="7"/>
  <c r="F1342" i="7" s="1"/>
  <c r="Q1341" i="7"/>
  <c r="G1341" i="7"/>
  <c r="F1341" i="7"/>
  <c r="E1341" i="7"/>
  <c r="E1342" i="7" s="1"/>
  <c r="Q1340" i="7"/>
  <c r="G1339" i="7"/>
  <c r="F1339" i="7"/>
  <c r="S1338" i="7"/>
  <c r="Q1337" i="7"/>
  <c r="Q1336" i="7"/>
  <c r="B1336" i="7"/>
  <c r="F1336" i="7" s="1"/>
  <c r="Q1335" i="7"/>
  <c r="F1335" i="7"/>
  <c r="Q1334" i="7"/>
  <c r="B1334" i="7"/>
  <c r="F1334" i="7" s="1"/>
  <c r="T1327" i="7"/>
  <c r="Q1327" i="7"/>
  <c r="M1327" i="7"/>
  <c r="H1326" i="7"/>
  <c r="T1314" i="7"/>
  <c r="B1312" i="7"/>
  <c r="B1313" i="7" s="1"/>
  <c r="B1314" i="7" s="1"/>
  <c r="F1314" i="7" s="1"/>
  <c r="S1311" i="7"/>
  <c r="F1311" i="7"/>
  <c r="B1310" i="7"/>
  <c r="F1310" i="7" s="1"/>
  <c r="Q1308" i="7"/>
  <c r="G1308" i="7"/>
  <c r="F1308" i="7"/>
  <c r="Q1307" i="7"/>
  <c r="G1306" i="7"/>
  <c r="F1306" i="7"/>
  <c r="S1305" i="7"/>
  <c r="Q1303" i="7"/>
  <c r="B1303" i="7"/>
  <c r="Q1302" i="7"/>
  <c r="F1302" i="7"/>
  <c r="Q1301" i="7"/>
  <c r="B1301" i="7"/>
  <c r="F1301" i="7" s="1"/>
  <c r="T1294" i="7"/>
  <c r="Q1294" i="7"/>
  <c r="M1294" i="7"/>
  <c r="V1314" i="7" s="1"/>
  <c r="H1293" i="7"/>
  <c r="T1281" i="7"/>
  <c r="B1280" i="7"/>
  <c r="F1280" i="7" s="1"/>
  <c r="B1279" i="7"/>
  <c r="F1279" i="7" s="1"/>
  <c r="S1278" i="7"/>
  <c r="F1278" i="7"/>
  <c r="B1277" i="7"/>
  <c r="Q1275" i="7"/>
  <c r="G1275" i="7"/>
  <c r="F1275" i="7"/>
  <c r="Q1274" i="7"/>
  <c r="G1273" i="7"/>
  <c r="F1273" i="7"/>
  <c r="E1273" i="7" s="1"/>
  <c r="E1274" i="7" s="1"/>
  <c r="S1272" i="7"/>
  <c r="R1272" i="7"/>
  <c r="B1270" i="7"/>
  <c r="F1270" i="7" s="1"/>
  <c r="F1261" i="7" s="1"/>
  <c r="E1261" i="7" s="1"/>
  <c r="D1260" i="7" s="1"/>
  <c r="E1260" i="7" s="1"/>
  <c r="F1269" i="7"/>
  <c r="F1268" i="7"/>
  <c r="B1268" i="7"/>
  <c r="F1267" i="7"/>
  <c r="B1267" i="7"/>
  <c r="T1261" i="7"/>
  <c r="Q1261" i="7"/>
  <c r="M1261" i="7"/>
  <c r="H1260" i="7"/>
  <c r="Q1248" i="7"/>
  <c r="S1246" i="7"/>
  <c r="B1246" i="7"/>
  <c r="S1245" i="7"/>
  <c r="F1245" i="7"/>
  <c r="R1244" i="7"/>
  <c r="S1244" i="7" s="1"/>
  <c r="B1244" i="7"/>
  <c r="R1243" i="7"/>
  <c r="S1243" i="7" s="1"/>
  <c r="T1242" i="7"/>
  <c r="V1242" i="7" s="1"/>
  <c r="G1242" i="7"/>
  <c r="F1242" i="7"/>
  <c r="R1241" i="7"/>
  <c r="S1240" i="7"/>
  <c r="G1240" i="7"/>
  <c r="F1240" i="7"/>
  <c r="E1240" i="7"/>
  <c r="E1241" i="7" s="1"/>
  <c r="S1239" i="7"/>
  <c r="S1238" i="7"/>
  <c r="S1237" i="7"/>
  <c r="B1237" i="7"/>
  <c r="B1238" i="7" s="1"/>
  <c r="F1236" i="7"/>
  <c r="B1235" i="7"/>
  <c r="T1234" i="7"/>
  <c r="T1233" i="7"/>
  <c r="Q1233" i="7"/>
  <c r="R1230" i="7"/>
  <c r="L1229" i="7"/>
  <c r="K1229" i="7"/>
  <c r="J1229" i="7"/>
  <c r="I1229" i="7"/>
  <c r="Y1228" i="7"/>
  <c r="X1228" i="7"/>
  <c r="L1228" i="7"/>
  <c r="K1228" i="7"/>
  <c r="J1228" i="7"/>
  <c r="I1228" i="7"/>
  <c r="L1227" i="7"/>
  <c r="H1227" i="7"/>
  <c r="Q1215" i="7"/>
  <c r="B1214" i="7"/>
  <c r="S1213" i="7"/>
  <c r="F1213" i="7"/>
  <c r="B1213" i="7"/>
  <c r="S1212" i="7"/>
  <c r="F1212" i="7"/>
  <c r="S1211" i="7"/>
  <c r="B1211" i="7"/>
  <c r="F1211" i="7" s="1"/>
  <c r="R1210" i="7"/>
  <c r="T1209" i="7"/>
  <c r="V1209" i="7" s="1"/>
  <c r="R1208" i="7"/>
  <c r="S1207" i="7"/>
  <c r="G1207" i="7"/>
  <c r="E1207" i="7" s="1"/>
  <c r="E1208" i="7" s="1"/>
  <c r="F1207" i="7"/>
  <c r="S1206" i="7"/>
  <c r="S1205" i="7"/>
  <c r="B1205" i="7"/>
  <c r="S1204" i="7"/>
  <c r="F1204" i="7"/>
  <c r="F1195" i="7" s="1"/>
  <c r="E1195" i="7" s="1"/>
  <c r="B1204" i="7"/>
  <c r="F1203" i="7"/>
  <c r="B1202" i="7"/>
  <c r="T1201" i="7"/>
  <c r="T1200" i="7"/>
  <c r="Q1200" i="7"/>
  <c r="R1197" i="7"/>
  <c r="L1196" i="7"/>
  <c r="K1196" i="7"/>
  <c r="J1196" i="7"/>
  <c r="I1196" i="7"/>
  <c r="L1195" i="7"/>
  <c r="K1195" i="7"/>
  <c r="J1195" i="7"/>
  <c r="I1195" i="7"/>
  <c r="H1194" i="7"/>
  <c r="Q1182" i="7"/>
  <c r="B1181" i="7"/>
  <c r="S1180" i="7"/>
  <c r="F1180" i="7"/>
  <c r="B1180" i="7"/>
  <c r="S1179" i="7"/>
  <c r="F1179" i="7"/>
  <c r="S1178" i="7"/>
  <c r="B1178" i="7"/>
  <c r="F1178" i="7" s="1"/>
  <c r="R1177" i="7"/>
  <c r="B1177" i="7"/>
  <c r="F1177" i="7" s="1"/>
  <c r="T1176" i="7"/>
  <c r="V1176" i="7" s="1"/>
  <c r="G1176" i="7"/>
  <c r="F1176" i="7"/>
  <c r="E1176" i="7"/>
  <c r="R1175" i="7"/>
  <c r="S1174" i="7"/>
  <c r="G1174" i="7"/>
  <c r="F1174" i="7"/>
  <c r="E1174" i="7" s="1"/>
  <c r="E1175" i="7" s="1"/>
  <c r="S1173" i="7"/>
  <c r="S1172" i="7"/>
  <c r="S1171" i="7"/>
  <c r="B1171" i="7"/>
  <c r="T1170" i="7"/>
  <c r="F1170" i="7"/>
  <c r="B1169" i="7"/>
  <c r="B1168" i="7" s="1"/>
  <c r="F1168" i="7" s="1"/>
  <c r="F1166" i="7" s="1"/>
  <c r="T1168" i="7"/>
  <c r="T1167" i="7"/>
  <c r="Q1167" i="7"/>
  <c r="R1164" i="7"/>
  <c r="L1163" i="7"/>
  <c r="K1163" i="7"/>
  <c r="J1163" i="7"/>
  <c r="I1163" i="7"/>
  <c r="L1162" i="7"/>
  <c r="K1162" i="7"/>
  <c r="J1162" i="7"/>
  <c r="I1162" i="7"/>
  <c r="L1161" i="7"/>
  <c r="H1161" i="7"/>
  <c r="Q1149" i="7"/>
  <c r="S1147" i="7"/>
  <c r="B1147" i="7"/>
  <c r="S1146" i="7"/>
  <c r="F1146" i="7"/>
  <c r="R1145" i="7"/>
  <c r="S1145" i="7" s="1"/>
  <c r="B1145" i="7"/>
  <c r="F1145" i="7" s="1"/>
  <c r="R1144" i="7"/>
  <c r="S1144" i="7" s="1"/>
  <c r="B1144" i="7"/>
  <c r="F1144" i="7" s="1"/>
  <c r="T1143" i="7"/>
  <c r="V1143" i="7" s="1"/>
  <c r="G1143" i="7"/>
  <c r="F1143" i="7"/>
  <c r="E1143" i="7"/>
  <c r="F1142" i="7" s="1"/>
  <c r="R1142" i="7"/>
  <c r="S1141" i="7"/>
  <c r="G1141" i="7"/>
  <c r="F1141" i="7"/>
  <c r="S1140" i="7"/>
  <c r="S1139" i="7"/>
  <c r="B1139" i="7"/>
  <c r="S1138" i="7"/>
  <c r="F1138" i="7"/>
  <c r="B1138" i="7"/>
  <c r="F1137" i="7"/>
  <c r="B1136" i="7"/>
  <c r="T1135" i="7"/>
  <c r="T1134" i="7"/>
  <c r="Q1134" i="7"/>
  <c r="R1131" i="7"/>
  <c r="L1130" i="7"/>
  <c r="K1130" i="7"/>
  <c r="J1130" i="7"/>
  <c r="I1130" i="7"/>
  <c r="L1129" i="7"/>
  <c r="K1129" i="7"/>
  <c r="J1129" i="7"/>
  <c r="I1129" i="7"/>
  <c r="H1128" i="7"/>
  <c r="Q1116" i="7"/>
  <c r="B1115" i="7"/>
  <c r="S1114" i="7"/>
  <c r="F1114" i="7"/>
  <c r="B1114" i="7"/>
  <c r="S1113" i="7"/>
  <c r="F1113" i="7"/>
  <c r="R1112" i="7"/>
  <c r="S1112" i="7" s="1"/>
  <c r="B1112" i="7"/>
  <c r="F1112" i="7" s="1"/>
  <c r="R1111" i="7"/>
  <c r="T1110" i="7"/>
  <c r="V1110" i="7" s="1"/>
  <c r="G1110" i="7"/>
  <c r="F1110" i="7"/>
  <c r="E1110" i="7" s="1"/>
  <c r="F1109" i="7" s="1"/>
  <c r="R1109" i="7"/>
  <c r="S1108" i="7"/>
  <c r="G1108" i="7"/>
  <c r="F1108" i="7"/>
  <c r="E1108" i="7" s="1"/>
  <c r="S1107" i="7"/>
  <c r="S1106" i="7"/>
  <c r="S1105" i="7"/>
  <c r="B1105" i="7"/>
  <c r="F1104" i="7"/>
  <c r="B1103" i="7"/>
  <c r="T1102" i="7"/>
  <c r="T1101" i="7"/>
  <c r="Q1101" i="7"/>
  <c r="R1098" i="7"/>
  <c r="L1097" i="7"/>
  <c r="K1097" i="7"/>
  <c r="J1097" i="7"/>
  <c r="I1097" i="7"/>
  <c r="L1096" i="7"/>
  <c r="L1095" i="7" s="1"/>
  <c r="K1096" i="7"/>
  <c r="J1096" i="7"/>
  <c r="I1096" i="7"/>
  <c r="H1095" i="7"/>
  <c r="I1084" i="7"/>
  <c r="H1084" i="7"/>
  <c r="Q1083" i="7"/>
  <c r="R1082" i="7"/>
  <c r="B1082" i="7"/>
  <c r="S1081" i="7"/>
  <c r="B1081" i="7"/>
  <c r="F1081" i="7" s="1"/>
  <c r="S1080" i="7"/>
  <c r="F1080" i="7"/>
  <c r="S1079" i="7"/>
  <c r="B1079" i="7"/>
  <c r="S1078" i="7"/>
  <c r="T1077" i="7"/>
  <c r="V1077" i="7" s="1"/>
  <c r="G1077" i="7"/>
  <c r="F1077" i="7"/>
  <c r="E1077" i="7" s="1"/>
  <c r="R1076" i="7"/>
  <c r="S1075" i="7"/>
  <c r="G1075" i="7"/>
  <c r="F1075" i="7"/>
  <c r="E1075" i="7"/>
  <c r="F1076" i="7" s="1"/>
  <c r="R1065" i="7" s="1"/>
  <c r="S1074" i="7"/>
  <c r="S1073" i="7"/>
  <c r="B1073" i="7"/>
  <c r="B1074" i="7" s="1"/>
  <c r="F1074" i="7" s="1"/>
  <c r="S1072" i="7"/>
  <c r="F1072" i="7"/>
  <c r="B1072" i="7"/>
  <c r="F1071" i="7"/>
  <c r="F1070" i="7"/>
  <c r="B1070" i="7"/>
  <c r="T1069" i="7"/>
  <c r="B1069" i="7"/>
  <c r="F1069" i="7" s="1"/>
  <c r="T1068" i="7"/>
  <c r="Q1068" i="7"/>
  <c r="L1064" i="7"/>
  <c r="K1064" i="7"/>
  <c r="J1064" i="7"/>
  <c r="I1064" i="7"/>
  <c r="L1063" i="7"/>
  <c r="L1062" i="7" s="1"/>
  <c r="K1063" i="7"/>
  <c r="J1063" i="7"/>
  <c r="I1063" i="7"/>
  <c r="H1062" i="7"/>
  <c r="R1049" i="7"/>
  <c r="S1048" i="7"/>
  <c r="B1048" i="7"/>
  <c r="F1048" i="7" s="1"/>
  <c r="S1047" i="7"/>
  <c r="F1047" i="7"/>
  <c r="S1046" i="7"/>
  <c r="B1046" i="7"/>
  <c r="F1046" i="7" s="1"/>
  <c r="T1045" i="7"/>
  <c r="V1045" i="7" s="1"/>
  <c r="B1045" i="7"/>
  <c r="F1045" i="7" s="1"/>
  <c r="R1044" i="7"/>
  <c r="G1044" i="7"/>
  <c r="F1044" i="7"/>
  <c r="E1044" i="7"/>
  <c r="S1043" i="7"/>
  <c r="S1042" i="7"/>
  <c r="G1042" i="7"/>
  <c r="F1042" i="7"/>
  <c r="S1041" i="7"/>
  <c r="B1040" i="7"/>
  <c r="B1041" i="7" s="1"/>
  <c r="F1041" i="7" s="1"/>
  <c r="F1039" i="7"/>
  <c r="F1030" i="7" s="1"/>
  <c r="E1030" i="7" s="1"/>
  <c r="B1039" i="7"/>
  <c r="F1038" i="7"/>
  <c r="B1037" i="7"/>
  <c r="B1036" i="7" s="1"/>
  <c r="F1036" i="7" s="1"/>
  <c r="T1035" i="7"/>
  <c r="Q1035" i="7"/>
  <c r="L1031" i="7"/>
  <c r="K1031" i="7"/>
  <c r="J1031" i="7"/>
  <c r="I1031" i="7"/>
  <c r="L1030" i="7"/>
  <c r="K1030" i="7"/>
  <c r="J1030" i="7"/>
  <c r="I1030" i="7"/>
  <c r="L1029" i="7"/>
  <c r="H1029" i="7"/>
  <c r="R1016" i="7"/>
  <c r="S1015" i="7"/>
  <c r="B1015" i="7"/>
  <c r="B1016" i="7" s="1"/>
  <c r="S1014" i="7"/>
  <c r="F1014" i="7"/>
  <c r="S1013" i="7"/>
  <c r="B1013" i="7"/>
  <c r="B1012" i="7" s="1"/>
  <c r="F1012" i="7" s="1"/>
  <c r="T1012" i="7"/>
  <c r="V1012" i="7" s="1"/>
  <c r="R1011" i="7"/>
  <c r="G1011" i="7"/>
  <c r="F1011" i="7"/>
  <c r="S1010" i="7"/>
  <c r="S1009" i="7"/>
  <c r="G1009" i="7"/>
  <c r="F1009" i="7"/>
  <c r="E1009" i="7" s="1"/>
  <c r="F1010" i="7" s="1"/>
  <c r="S1008" i="7"/>
  <c r="B1006" i="7"/>
  <c r="B1007" i="7" s="1"/>
  <c r="F1005" i="7"/>
  <c r="B1004" i="7"/>
  <c r="F1004" i="7" s="1"/>
  <c r="B1003" i="7"/>
  <c r="F1003" i="7" s="1"/>
  <c r="T1002" i="7"/>
  <c r="Q1002" i="7"/>
  <c r="R999" i="7"/>
  <c r="L998" i="7"/>
  <c r="K998" i="7"/>
  <c r="J998" i="7"/>
  <c r="I998" i="7"/>
  <c r="L997" i="7"/>
  <c r="L996" i="7" s="1"/>
  <c r="K997" i="7"/>
  <c r="J997" i="7"/>
  <c r="I997" i="7"/>
  <c r="E997" i="7"/>
  <c r="C998" i="7" s="1"/>
  <c r="D998" i="7" s="1"/>
  <c r="H996" i="7"/>
  <c r="C996" i="7"/>
  <c r="D996" i="7" s="1"/>
  <c r="R983" i="7"/>
  <c r="B983" i="7"/>
  <c r="B984" i="7" s="1"/>
  <c r="F984" i="7" s="1"/>
  <c r="S982" i="7"/>
  <c r="F982" i="7"/>
  <c r="B982" i="7"/>
  <c r="S981" i="7"/>
  <c r="F981" i="7"/>
  <c r="S980" i="7"/>
  <c r="B980" i="7"/>
  <c r="F980" i="7" s="1"/>
  <c r="T979" i="7"/>
  <c r="V979" i="7" s="1"/>
  <c r="R978" i="7"/>
  <c r="G978" i="7"/>
  <c r="F978" i="7"/>
  <c r="S977" i="7"/>
  <c r="S976" i="7"/>
  <c r="G976" i="7"/>
  <c r="F976" i="7"/>
  <c r="S975" i="7"/>
  <c r="B973" i="7"/>
  <c r="B974" i="7" s="1"/>
  <c r="F972" i="7"/>
  <c r="B971" i="7"/>
  <c r="F971" i="7" s="1"/>
  <c r="B970" i="7"/>
  <c r="F970" i="7" s="1"/>
  <c r="T969" i="7"/>
  <c r="Q969" i="7"/>
  <c r="R966" i="7"/>
  <c r="L965" i="7"/>
  <c r="K965" i="7"/>
  <c r="J965" i="7"/>
  <c r="I965" i="7"/>
  <c r="L964" i="7"/>
  <c r="L963" i="7" s="1"/>
  <c r="K964" i="7"/>
  <c r="J964" i="7"/>
  <c r="I964" i="7"/>
  <c r="E964" i="7"/>
  <c r="C965" i="7" s="1"/>
  <c r="D965" i="7" s="1"/>
  <c r="H963" i="7"/>
  <c r="R950" i="7"/>
  <c r="S949" i="7"/>
  <c r="B949" i="7"/>
  <c r="F949" i="7" s="1"/>
  <c r="S948" i="7"/>
  <c r="F948" i="7"/>
  <c r="S947" i="7"/>
  <c r="F947" i="7"/>
  <c r="B947" i="7"/>
  <c r="T946" i="7"/>
  <c r="V946" i="7" s="1"/>
  <c r="B946" i="7"/>
  <c r="F946" i="7" s="1"/>
  <c r="R945" i="7"/>
  <c r="G945" i="7"/>
  <c r="F945" i="7"/>
  <c r="E945" i="7"/>
  <c r="F944" i="7" s="1"/>
  <c r="S944" i="7"/>
  <c r="S943" i="7"/>
  <c r="G943" i="7"/>
  <c r="F943" i="7"/>
  <c r="S942" i="7"/>
  <c r="B940" i="7"/>
  <c r="B941" i="7" s="1"/>
  <c r="F939" i="7"/>
  <c r="B938" i="7"/>
  <c r="B937" i="7" s="1"/>
  <c r="F937" i="7" s="1"/>
  <c r="T936" i="7"/>
  <c r="Q936" i="7"/>
  <c r="R933" i="7"/>
  <c r="L932" i="7"/>
  <c r="K932" i="7"/>
  <c r="J932" i="7"/>
  <c r="I932" i="7"/>
  <c r="L931" i="7"/>
  <c r="K931" i="7"/>
  <c r="J931" i="7"/>
  <c r="I931" i="7"/>
  <c r="E931" i="7"/>
  <c r="C932" i="7" s="1"/>
  <c r="D932" i="7" s="1"/>
  <c r="L930" i="7"/>
  <c r="H930" i="7"/>
  <c r="C930" i="7"/>
  <c r="D930" i="7" s="1"/>
  <c r="I920" i="7"/>
  <c r="R917" i="7"/>
  <c r="S916" i="7"/>
  <c r="B916" i="7"/>
  <c r="B917" i="7" s="1"/>
  <c r="S915" i="7"/>
  <c r="F915" i="7"/>
  <c r="S914" i="7"/>
  <c r="B914" i="7"/>
  <c r="B913" i="7" s="1"/>
  <c r="F913" i="7" s="1"/>
  <c r="T913" i="7"/>
  <c r="V913" i="7" s="1"/>
  <c r="R912" i="7"/>
  <c r="G912" i="7"/>
  <c r="F912" i="7"/>
  <c r="S911" i="7"/>
  <c r="S910" i="7"/>
  <c r="G910" i="7"/>
  <c r="F910" i="7"/>
  <c r="E910" i="7" s="1"/>
  <c r="S909" i="7"/>
  <c r="B908" i="7"/>
  <c r="B909" i="7" s="1"/>
  <c r="F909" i="7" s="1"/>
  <c r="B907" i="7"/>
  <c r="F907" i="7" s="1"/>
  <c r="F906" i="7"/>
  <c r="B905" i="7"/>
  <c r="F905" i="7" s="1"/>
  <c r="T903" i="7"/>
  <c r="Q903" i="7"/>
  <c r="L899" i="7"/>
  <c r="K899" i="7"/>
  <c r="J899" i="7"/>
  <c r="I899" i="7"/>
  <c r="L898" i="7"/>
  <c r="L897" i="7" s="1"/>
  <c r="K898" i="7"/>
  <c r="J898" i="7"/>
  <c r="I898" i="7"/>
  <c r="E898" i="7"/>
  <c r="C899" i="7" s="1"/>
  <c r="D899" i="7" s="1"/>
  <c r="H897" i="7"/>
  <c r="R884" i="7"/>
  <c r="S883" i="7"/>
  <c r="B883" i="7"/>
  <c r="B884" i="7" s="1"/>
  <c r="S882" i="7"/>
  <c r="F882" i="7"/>
  <c r="S881" i="7"/>
  <c r="F881" i="7"/>
  <c r="B881" i="7"/>
  <c r="T880" i="7"/>
  <c r="V880" i="7" s="1"/>
  <c r="B880" i="7"/>
  <c r="F880" i="7" s="1"/>
  <c r="G879" i="7"/>
  <c r="F879" i="7"/>
  <c r="E879" i="7"/>
  <c r="E878" i="7" s="1"/>
  <c r="S878" i="7"/>
  <c r="S877" i="7"/>
  <c r="G877" i="7"/>
  <c r="F877" i="7"/>
  <c r="E877" i="7" s="1"/>
  <c r="F878" i="7" s="1"/>
  <c r="S876" i="7"/>
  <c r="B875" i="7"/>
  <c r="B876" i="7" s="1"/>
  <c r="F876" i="7" s="1"/>
  <c r="B874" i="7"/>
  <c r="F874" i="7" s="1"/>
  <c r="F873" i="7"/>
  <c r="F872" i="7"/>
  <c r="B872" i="7"/>
  <c r="B871" i="7" s="1"/>
  <c r="F871" i="7" s="1"/>
  <c r="T870" i="7"/>
  <c r="Q870" i="7"/>
  <c r="L866" i="7"/>
  <c r="K866" i="7"/>
  <c r="J866" i="7"/>
  <c r="I866" i="7"/>
  <c r="C866" i="7"/>
  <c r="D866" i="7" s="1"/>
  <c r="L865" i="7"/>
  <c r="L864" i="7" s="1"/>
  <c r="K865" i="7"/>
  <c r="J865" i="7"/>
  <c r="I865" i="7"/>
  <c r="E865" i="7"/>
  <c r="H864" i="7"/>
  <c r="D864" i="7"/>
  <c r="C864" i="7"/>
  <c r="R851" i="7"/>
  <c r="B851" i="7"/>
  <c r="B852" i="7" s="1"/>
  <c r="F852" i="7" s="1"/>
  <c r="S850" i="7"/>
  <c r="F850" i="7"/>
  <c r="B850" i="7"/>
  <c r="S849" i="7"/>
  <c r="F849" i="7"/>
  <c r="S848" i="7"/>
  <c r="B848" i="7"/>
  <c r="B847" i="7" s="1"/>
  <c r="F847" i="7" s="1"/>
  <c r="T847" i="7"/>
  <c r="V847" i="7" s="1"/>
  <c r="R846" i="7"/>
  <c r="G846" i="7"/>
  <c r="F846" i="7"/>
  <c r="S845" i="7"/>
  <c r="S844" i="7"/>
  <c r="G844" i="7"/>
  <c r="E844" i="7" s="1"/>
  <c r="F844" i="7"/>
  <c r="S843" i="7"/>
  <c r="B841" i="7"/>
  <c r="B842" i="7" s="1"/>
  <c r="F840" i="7"/>
  <c r="B839" i="7"/>
  <c r="B838" i="7" s="1"/>
  <c r="F838" i="7" s="1"/>
  <c r="F836" i="7" s="1"/>
  <c r="T837" i="7"/>
  <c r="Q837" i="7"/>
  <c r="R834" i="7"/>
  <c r="L833" i="7"/>
  <c r="K833" i="7"/>
  <c r="J833" i="7"/>
  <c r="I833" i="7"/>
  <c r="C833" i="7"/>
  <c r="D833" i="7" s="1"/>
  <c r="L832" i="7"/>
  <c r="K832" i="7"/>
  <c r="J832" i="7"/>
  <c r="I832" i="7"/>
  <c r="E832" i="7"/>
  <c r="L831" i="7"/>
  <c r="H831" i="7"/>
  <c r="D831" i="7"/>
  <c r="C831" i="7"/>
  <c r="R818" i="7"/>
  <c r="B818" i="7"/>
  <c r="B819" i="7" s="1"/>
  <c r="F819" i="7" s="1"/>
  <c r="S817" i="7"/>
  <c r="B817" i="7"/>
  <c r="F817" i="7" s="1"/>
  <c r="S816" i="7"/>
  <c r="F816" i="7"/>
  <c r="S815" i="7"/>
  <c r="B815" i="7"/>
  <c r="B814" i="7" s="1"/>
  <c r="F814" i="7" s="1"/>
  <c r="T814" i="7"/>
  <c r="V814" i="7" s="1"/>
  <c r="R813" i="7"/>
  <c r="G813" i="7"/>
  <c r="F813" i="7"/>
  <c r="E813" i="7" s="1"/>
  <c r="F812" i="7" s="1"/>
  <c r="S812" i="7"/>
  <c r="S811" i="7"/>
  <c r="G811" i="7"/>
  <c r="F811" i="7"/>
  <c r="E811" i="7"/>
  <c r="E812" i="7" s="1"/>
  <c r="S810" i="7"/>
  <c r="B808" i="7"/>
  <c r="B809" i="7" s="1"/>
  <c r="S807" i="7"/>
  <c r="R807" i="7"/>
  <c r="Q807" i="7"/>
  <c r="F807" i="7"/>
  <c r="F806" i="7"/>
  <c r="B806" i="7"/>
  <c r="B805" i="7"/>
  <c r="F805" i="7" s="1"/>
  <c r="T804" i="7"/>
  <c r="Q804" i="7"/>
  <c r="S801" i="7"/>
  <c r="T801" i="7" s="1"/>
  <c r="L800" i="7"/>
  <c r="K800" i="7"/>
  <c r="J800" i="7"/>
  <c r="I800" i="7"/>
  <c r="L799" i="7"/>
  <c r="L798" i="7" s="1"/>
  <c r="K799" i="7"/>
  <c r="J799" i="7"/>
  <c r="I799" i="7"/>
  <c r="E799" i="7"/>
  <c r="C800" i="7" s="1"/>
  <c r="D800" i="7" s="1"/>
  <c r="H798" i="7"/>
  <c r="C798" i="7"/>
  <c r="D798" i="7" s="1"/>
  <c r="R785" i="7"/>
  <c r="S784" i="7"/>
  <c r="F784" i="7"/>
  <c r="B784" i="7"/>
  <c r="B785" i="7" s="1"/>
  <c r="B786" i="7" s="1"/>
  <c r="F786" i="7" s="1"/>
  <c r="S783" i="7"/>
  <c r="F783" i="7"/>
  <c r="S782" i="7"/>
  <c r="B782" i="7"/>
  <c r="F782" i="7" s="1"/>
  <c r="T781" i="7"/>
  <c r="V781" i="7" s="1"/>
  <c r="R780" i="7"/>
  <c r="G780" i="7"/>
  <c r="F780" i="7"/>
  <c r="S779" i="7"/>
  <c r="S778" i="7"/>
  <c r="G778" i="7"/>
  <c r="F778" i="7"/>
  <c r="S777" i="7"/>
  <c r="B775" i="7"/>
  <c r="F774" i="7"/>
  <c r="F773" i="7"/>
  <c r="B773" i="7"/>
  <c r="B772" i="7"/>
  <c r="F772" i="7" s="1"/>
  <c r="T771" i="7"/>
  <c r="Q771" i="7"/>
  <c r="S768" i="7"/>
  <c r="T768" i="7" s="1"/>
  <c r="L767" i="7"/>
  <c r="L765" i="7" s="1"/>
  <c r="K767" i="7"/>
  <c r="J767" i="7"/>
  <c r="I767" i="7"/>
  <c r="C767" i="7"/>
  <c r="D767" i="7" s="1"/>
  <c r="L766" i="7"/>
  <c r="K766" i="7"/>
  <c r="J766" i="7"/>
  <c r="I766" i="7"/>
  <c r="E766" i="7"/>
  <c r="H765" i="7"/>
  <c r="D765" i="7"/>
  <c r="C765" i="7"/>
  <c r="R752" i="7"/>
  <c r="B752" i="7"/>
  <c r="B753" i="7" s="1"/>
  <c r="F753" i="7" s="1"/>
  <c r="S751" i="7"/>
  <c r="F751" i="7"/>
  <c r="B751" i="7"/>
  <c r="S750" i="7"/>
  <c r="F750" i="7"/>
  <c r="S749" i="7"/>
  <c r="B749" i="7"/>
  <c r="B748" i="7" s="1"/>
  <c r="F748" i="7" s="1"/>
  <c r="T748" i="7"/>
  <c r="V748" i="7" s="1"/>
  <c r="R747" i="7"/>
  <c r="G747" i="7"/>
  <c r="F747" i="7"/>
  <c r="S746" i="7"/>
  <c r="S745" i="7"/>
  <c r="G745" i="7"/>
  <c r="F745" i="7"/>
  <c r="E745" i="7" s="1"/>
  <c r="S744" i="7"/>
  <c r="B743" i="7"/>
  <c r="B742" i="7"/>
  <c r="F742" i="7" s="1"/>
  <c r="F741" i="7"/>
  <c r="B740" i="7"/>
  <c r="F740" i="7" s="1"/>
  <c r="T738" i="7"/>
  <c r="Q738" i="7"/>
  <c r="S735" i="7"/>
  <c r="T735" i="7" s="1"/>
  <c r="L734" i="7"/>
  <c r="K734" i="7"/>
  <c r="J734" i="7"/>
  <c r="I734" i="7"/>
  <c r="L733" i="7"/>
  <c r="K733" i="7"/>
  <c r="J733" i="7"/>
  <c r="I733" i="7"/>
  <c r="E733" i="7"/>
  <c r="C734" i="7" s="1"/>
  <c r="D734" i="7" s="1"/>
  <c r="L732" i="7"/>
  <c r="H732" i="7"/>
  <c r="C732" i="7"/>
  <c r="D732" i="7" s="1"/>
  <c r="R719" i="7"/>
  <c r="S718" i="7"/>
  <c r="B718" i="7"/>
  <c r="S717" i="7"/>
  <c r="F717" i="7"/>
  <c r="S716" i="7"/>
  <c r="B716" i="7"/>
  <c r="T715" i="7"/>
  <c r="V715" i="7" s="1"/>
  <c r="R714" i="7"/>
  <c r="G714" i="7"/>
  <c r="F714" i="7"/>
  <c r="E714" i="7" s="1"/>
  <c r="S713" i="7"/>
  <c r="S712" i="7"/>
  <c r="G712" i="7"/>
  <c r="F712" i="7"/>
  <c r="E712" i="7" s="1"/>
  <c r="F713" i="7" s="1"/>
  <c r="S711" i="7"/>
  <c r="B709" i="7"/>
  <c r="F709" i="7" s="1"/>
  <c r="F708" i="7"/>
  <c r="F707" i="7"/>
  <c r="B707" i="7"/>
  <c r="B706" i="7"/>
  <c r="F706" i="7" s="1"/>
  <c r="T705" i="7"/>
  <c r="Q705" i="7"/>
  <c r="L701" i="7"/>
  <c r="K701" i="7"/>
  <c r="J701" i="7"/>
  <c r="I701" i="7"/>
  <c r="L700" i="7"/>
  <c r="K700" i="7"/>
  <c r="J700" i="7"/>
  <c r="I700" i="7"/>
  <c r="E700" i="7"/>
  <c r="C701" i="7" s="1"/>
  <c r="D701" i="7" s="1"/>
  <c r="L699" i="7"/>
  <c r="H699" i="7"/>
  <c r="R686" i="7"/>
  <c r="S685" i="7"/>
  <c r="F685" i="7"/>
  <c r="B685" i="7"/>
  <c r="B686" i="7" s="1"/>
  <c r="S684" i="7"/>
  <c r="F684" i="7"/>
  <c r="S683" i="7"/>
  <c r="B683" i="7"/>
  <c r="T682" i="7"/>
  <c r="V682" i="7" s="1"/>
  <c r="R681" i="7"/>
  <c r="G681" i="7"/>
  <c r="F681" i="7"/>
  <c r="S680" i="7"/>
  <c r="S679" i="7"/>
  <c r="G679" i="7"/>
  <c r="F679" i="7"/>
  <c r="S678" i="7"/>
  <c r="B676" i="7"/>
  <c r="F676" i="7" s="1"/>
  <c r="F675" i="7"/>
  <c r="F674" i="7"/>
  <c r="B674" i="7"/>
  <c r="B673" i="7"/>
  <c r="F673" i="7" s="1"/>
  <c r="T672" i="7"/>
  <c r="Q672" i="7"/>
  <c r="L668" i="7"/>
  <c r="K668" i="7"/>
  <c r="J668" i="7"/>
  <c r="I668" i="7"/>
  <c r="L667" i="7"/>
  <c r="K667" i="7"/>
  <c r="J667" i="7"/>
  <c r="I667" i="7"/>
  <c r="E667" i="7"/>
  <c r="C668" i="7" s="1"/>
  <c r="D668" i="7" s="1"/>
  <c r="L666" i="7"/>
  <c r="H666" i="7"/>
  <c r="R653" i="7"/>
  <c r="S652" i="7"/>
  <c r="F652" i="7"/>
  <c r="B652" i="7"/>
  <c r="B653" i="7" s="1"/>
  <c r="S651" i="7"/>
  <c r="F651" i="7"/>
  <c r="S650" i="7"/>
  <c r="B650" i="7"/>
  <c r="T649" i="7"/>
  <c r="V649" i="7" s="1"/>
  <c r="R648" i="7"/>
  <c r="G648" i="7"/>
  <c r="F648" i="7"/>
  <c r="S647" i="7"/>
  <c r="S646" i="7"/>
  <c r="G646" i="7"/>
  <c r="F646" i="7"/>
  <c r="S645" i="7"/>
  <c r="B643" i="7"/>
  <c r="F643" i="7" s="1"/>
  <c r="F642" i="7"/>
  <c r="B641" i="7"/>
  <c r="F641" i="7" s="1"/>
  <c r="B640" i="7"/>
  <c r="F640" i="7" s="1"/>
  <c r="T639" i="7"/>
  <c r="Q639" i="7"/>
  <c r="L635" i="7"/>
  <c r="K635" i="7"/>
  <c r="J635" i="7"/>
  <c r="I635" i="7"/>
  <c r="L634" i="7"/>
  <c r="K634" i="7"/>
  <c r="J634" i="7"/>
  <c r="I634" i="7"/>
  <c r="E634" i="7"/>
  <c r="C635" i="7" s="1"/>
  <c r="D635" i="7" s="1"/>
  <c r="L633" i="7"/>
  <c r="H633" i="7"/>
  <c r="C633" i="7"/>
  <c r="D633" i="7" s="1"/>
  <c r="R620" i="7"/>
  <c r="S619" i="7"/>
  <c r="B619" i="7"/>
  <c r="F619" i="7" s="1"/>
  <c r="S618" i="7"/>
  <c r="F618" i="7"/>
  <c r="S617" i="7"/>
  <c r="B617" i="7"/>
  <c r="T616" i="7"/>
  <c r="V616" i="7" s="1"/>
  <c r="R615" i="7"/>
  <c r="G615" i="7"/>
  <c r="F615" i="7"/>
  <c r="E615" i="7" s="1"/>
  <c r="F614" i="7" s="1"/>
  <c r="S614" i="7"/>
  <c r="S613" i="7"/>
  <c r="G613" i="7"/>
  <c r="F613" i="7"/>
  <c r="E613" i="7" s="1"/>
  <c r="S612" i="7"/>
  <c r="B610" i="7"/>
  <c r="F610" i="7" s="1"/>
  <c r="F609" i="7"/>
  <c r="F608" i="7"/>
  <c r="B608" i="7"/>
  <c r="B607" i="7"/>
  <c r="F607" i="7" s="1"/>
  <c r="T606" i="7"/>
  <c r="Q606" i="7"/>
  <c r="L602" i="7"/>
  <c r="K602" i="7"/>
  <c r="J602" i="7"/>
  <c r="I602" i="7"/>
  <c r="L601" i="7"/>
  <c r="K601" i="7"/>
  <c r="J601" i="7"/>
  <c r="I601" i="7"/>
  <c r="E601" i="7"/>
  <c r="C602" i="7" s="1"/>
  <c r="D602" i="7" s="1"/>
  <c r="L600" i="7"/>
  <c r="H600" i="7"/>
  <c r="C600" i="7"/>
  <c r="D600" i="7" s="1"/>
  <c r="R587" i="7"/>
  <c r="S586" i="7"/>
  <c r="B586" i="7"/>
  <c r="F586" i="7" s="1"/>
  <c r="S585" i="7"/>
  <c r="F585" i="7"/>
  <c r="S584" i="7"/>
  <c r="B584" i="7"/>
  <c r="T583" i="7"/>
  <c r="V583" i="7" s="1"/>
  <c r="R582" i="7"/>
  <c r="G582" i="7"/>
  <c r="F582" i="7"/>
  <c r="E582" i="7" s="1"/>
  <c r="S581" i="7"/>
  <c r="S580" i="7"/>
  <c r="G580" i="7"/>
  <c r="F580" i="7"/>
  <c r="S579" i="7"/>
  <c r="B577" i="7"/>
  <c r="F577" i="7" s="1"/>
  <c r="F576" i="7"/>
  <c r="F575" i="7"/>
  <c r="B575" i="7"/>
  <c r="B574" i="7"/>
  <c r="F574" i="7" s="1"/>
  <c r="T573" i="7"/>
  <c r="Q573" i="7"/>
  <c r="L569" i="7"/>
  <c r="K569" i="7"/>
  <c r="J569" i="7"/>
  <c r="I569" i="7"/>
  <c r="L568" i="7"/>
  <c r="K568" i="7"/>
  <c r="J568" i="7"/>
  <c r="I568" i="7"/>
  <c r="E568" i="7"/>
  <c r="C569" i="7" s="1"/>
  <c r="D569" i="7" s="1"/>
  <c r="L567" i="7"/>
  <c r="H567" i="7"/>
  <c r="C567" i="7"/>
  <c r="D567" i="7" s="1"/>
  <c r="R554" i="7"/>
  <c r="S553" i="7"/>
  <c r="B553" i="7"/>
  <c r="F553" i="7" s="1"/>
  <c r="S552" i="7"/>
  <c r="F552" i="7"/>
  <c r="S551" i="7"/>
  <c r="B551" i="7"/>
  <c r="T550" i="7"/>
  <c r="V550" i="7" s="1"/>
  <c r="R549" i="7"/>
  <c r="G549" i="7"/>
  <c r="F549" i="7"/>
  <c r="E549" i="7" s="1"/>
  <c r="F548" i="7" s="1"/>
  <c r="S548" i="7"/>
  <c r="S547" i="7"/>
  <c r="G547" i="7"/>
  <c r="F547" i="7"/>
  <c r="E547" i="7" s="1"/>
  <c r="S546" i="7"/>
  <c r="B544" i="7"/>
  <c r="F544" i="7" s="1"/>
  <c r="F543" i="7"/>
  <c r="F542" i="7"/>
  <c r="B542" i="7"/>
  <c r="B541" i="7"/>
  <c r="F541" i="7" s="1"/>
  <c r="T540" i="7"/>
  <c r="Q540" i="7"/>
  <c r="L536" i="7"/>
  <c r="K536" i="7"/>
  <c r="J536" i="7"/>
  <c r="I536" i="7"/>
  <c r="L535" i="7"/>
  <c r="K535" i="7"/>
  <c r="J535" i="7"/>
  <c r="I535" i="7"/>
  <c r="E535" i="7"/>
  <c r="C536" i="7" s="1"/>
  <c r="D536" i="7" s="1"/>
  <c r="L534" i="7"/>
  <c r="H534" i="7"/>
  <c r="C534" i="7"/>
  <c r="D534" i="7" s="1"/>
  <c r="R521" i="7"/>
  <c r="S520" i="7"/>
  <c r="B520" i="7"/>
  <c r="F520" i="7" s="1"/>
  <c r="S519" i="7"/>
  <c r="F519" i="7"/>
  <c r="S518" i="7"/>
  <c r="B518" i="7"/>
  <c r="T517" i="7"/>
  <c r="V517" i="7" s="1"/>
  <c r="R516" i="7"/>
  <c r="G516" i="7"/>
  <c r="F516" i="7"/>
  <c r="E516" i="7" s="1"/>
  <c r="F515" i="7" s="1"/>
  <c r="S515" i="7"/>
  <c r="S514" i="7"/>
  <c r="G514" i="7"/>
  <c r="F514" i="7"/>
  <c r="E514" i="7" s="1"/>
  <c r="S513" i="7"/>
  <c r="B511" i="7"/>
  <c r="F511" i="7" s="1"/>
  <c r="F510" i="7"/>
  <c r="F509" i="7"/>
  <c r="B509" i="7"/>
  <c r="B508" i="7"/>
  <c r="F508" i="7" s="1"/>
  <c r="T507" i="7"/>
  <c r="Q507" i="7"/>
  <c r="L503" i="7"/>
  <c r="K503" i="7"/>
  <c r="J503" i="7"/>
  <c r="I503" i="7"/>
  <c r="L502" i="7"/>
  <c r="K502" i="7"/>
  <c r="J502" i="7"/>
  <c r="I502" i="7"/>
  <c r="E502" i="7"/>
  <c r="C503" i="7" s="1"/>
  <c r="D503" i="7" s="1"/>
  <c r="L501" i="7"/>
  <c r="H501" i="7"/>
  <c r="C501" i="7"/>
  <c r="D501" i="7" s="1"/>
  <c r="R488" i="7"/>
  <c r="S487" i="7"/>
  <c r="B487" i="7"/>
  <c r="F487" i="7" s="1"/>
  <c r="S486" i="7"/>
  <c r="F486" i="7"/>
  <c r="S485" i="7"/>
  <c r="B485" i="7"/>
  <c r="T484" i="7"/>
  <c r="V484" i="7" s="1"/>
  <c r="R483" i="7"/>
  <c r="G483" i="7"/>
  <c r="F483" i="7"/>
  <c r="E483" i="7" s="1"/>
  <c r="S482" i="7"/>
  <c r="S481" i="7"/>
  <c r="G481" i="7"/>
  <c r="F481" i="7"/>
  <c r="S480" i="7"/>
  <c r="B478" i="7"/>
  <c r="F478" i="7" s="1"/>
  <c r="F477" i="7"/>
  <c r="F476" i="7"/>
  <c r="B476" i="7"/>
  <c r="B475" i="7"/>
  <c r="F475" i="7" s="1"/>
  <c r="T474" i="7"/>
  <c r="Q474" i="7"/>
  <c r="L470" i="7"/>
  <c r="K470" i="7"/>
  <c r="J470" i="7"/>
  <c r="I470" i="7"/>
  <c r="L469" i="7"/>
  <c r="L468" i="7" s="1"/>
  <c r="K469" i="7"/>
  <c r="J469" i="7"/>
  <c r="I469" i="7"/>
  <c r="E469" i="7"/>
  <c r="C470" i="7" s="1"/>
  <c r="D470" i="7" s="1"/>
  <c r="H468" i="7"/>
  <c r="C468" i="7"/>
  <c r="D468" i="7" s="1"/>
  <c r="R455" i="7"/>
  <c r="S454" i="7"/>
  <c r="F454" i="7"/>
  <c r="B454" i="7"/>
  <c r="B455" i="7" s="1"/>
  <c r="B456" i="7" s="1"/>
  <c r="F456" i="7" s="1"/>
  <c r="S453" i="7"/>
  <c r="F453" i="7"/>
  <c r="S452" i="7"/>
  <c r="B452" i="7"/>
  <c r="B451" i="7" s="1"/>
  <c r="F451" i="7" s="1"/>
  <c r="T451" i="7"/>
  <c r="V451" i="7" s="1"/>
  <c r="R450" i="7"/>
  <c r="G450" i="7"/>
  <c r="F450" i="7"/>
  <c r="S449" i="7"/>
  <c r="S448" i="7"/>
  <c r="G448" i="7"/>
  <c r="F448" i="7"/>
  <c r="S447" i="7"/>
  <c r="B445" i="7"/>
  <c r="F445" i="7" s="1"/>
  <c r="F444" i="7"/>
  <c r="B443" i="7"/>
  <c r="B442" i="7" s="1"/>
  <c r="F442" i="7" s="1"/>
  <c r="T441" i="7"/>
  <c r="Q441" i="7"/>
  <c r="L437" i="7"/>
  <c r="K437" i="7"/>
  <c r="J437" i="7"/>
  <c r="I437" i="7"/>
  <c r="C437" i="7"/>
  <c r="D437" i="7" s="1"/>
  <c r="L436" i="7"/>
  <c r="L435" i="7" s="1"/>
  <c r="K436" i="7"/>
  <c r="J436" i="7"/>
  <c r="I436" i="7"/>
  <c r="E436" i="7"/>
  <c r="H435" i="7"/>
  <c r="D435" i="7"/>
  <c r="C435" i="7"/>
  <c r="R422" i="7"/>
  <c r="B422" i="7"/>
  <c r="B423" i="7" s="1"/>
  <c r="F423" i="7" s="1"/>
  <c r="S421" i="7"/>
  <c r="F421" i="7"/>
  <c r="B421" i="7"/>
  <c r="S420" i="7"/>
  <c r="F420" i="7"/>
  <c r="S419" i="7"/>
  <c r="B419" i="7"/>
  <c r="B418" i="7" s="1"/>
  <c r="F418" i="7" s="1"/>
  <c r="T418" i="7"/>
  <c r="V418" i="7" s="1"/>
  <c r="R417" i="7"/>
  <c r="G417" i="7"/>
  <c r="F417" i="7"/>
  <c r="S416" i="7"/>
  <c r="S415" i="7"/>
  <c r="G415" i="7"/>
  <c r="F415" i="7"/>
  <c r="S414" i="7"/>
  <c r="B413" i="7"/>
  <c r="B414" i="7" s="1"/>
  <c r="F414" i="7" s="1"/>
  <c r="B412" i="7"/>
  <c r="F412" i="7" s="1"/>
  <c r="F411" i="7"/>
  <c r="B410" i="7"/>
  <c r="F410" i="7" s="1"/>
  <c r="T408" i="7"/>
  <c r="Q408" i="7"/>
  <c r="L404" i="7"/>
  <c r="K404" i="7"/>
  <c r="J404" i="7"/>
  <c r="I404" i="7"/>
  <c r="L403" i="7"/>
  <c r="K403" i="7"/>
  <c r="J403" i="7"/>
  <c r="I403" i="7"/>
  <c r="E403" i="7"/>
  <c r="C404" i="7" s="1"/>
  <c r="D404" i="7" s="1"/>
  <c r="L402" i="7"/>
  <c r="H402" i="7"/>
  <c r="C402" i="7"/>
  <c r="D402" i="7" s="1"/>
  <c r="R389" i="7"/>
  <c r="B389" i="7"/>
  <c r="B390" i="7" s="1"/>
  <c r="F390" i="7" s="1"/>
  <c r="S388" i="7"/>
  <c r="B388" i="7"/>
  <c r="F388" i="7" s="1"/>
  <c r="S387" i="7"/>
  <c r="F387" i="7"/>
  <c r="S386" i="7"/>
  <c r="B386" i="7"/>
  <c r="B385" i="7" s="1"/>
  <c r="F385" i="7" s="1"/>
  <c r="T385" i="7"/>
  <c r="V385" i="7" s="1"/>
  <c r="R384" i="7"/>
  <c r="G384" i="7"/>
  <c r="F384" i="7"/>
  <c r="E384" i="7" s="1"/>
  <c r="F383" i="7" s="1"/>
  <c r="S383" i="7"/>
  <c r="S382" i="7"/>
  <c r="G382" i="7"/>
  <c r="F382" i="7"/>
  <c r="E382" i="7" s="1"/>
  <c r="S381" i="7"/>
  <c r="B379" i="7"/>
  <c r="F379" i="7" s="1"/>
  <c r="F378" i="7"/>
  <c r="F377" i="7"/>
  <c r="B377" i="7"/>
  <c r="B376" i="7"/>
  <c r="F376" i="7" s="1"/>
  <c r="T375" i="7"/>
  <c r="Q375" i="7"/>
  <c r="L371" i="7"/>
  <c r="K371" i="7"/>
  <c r="J371" i="7"/>
  <c r="I371" i="7"/>
  <c r="L370" i="7"/>
  <c r="K370" i="7"/>
  <c r="J370" i="7"/>
  <c r="I370" i="7"/>
  <c r="E370" i="7"/>
  <c r="C371" i="7" s="1"/>
  <c r="D371" i="7" s="1"/>
  <c r="L369" i="7"/>
  <c r="H369" i="7"/>
  <c r="C369" i="7"/>
  <c r="D369" i="7" s="1"/>
  <c r="R356" i="7"/>
  <c r="S355" i="7"/>
  <c r="B355" i="7"/>
  <c r="F355" i="7" s="1"/>
  <c r="S354" i="7"/>
  <c r="F354" i="7"/>
  <c r="S353" i="7"/>
  <c r="B353" i="7"/>
  <c r="B352" i="7" s="1"/>
  <c r="F352" i="7" s="1"/>
  <c r="T352" i="7"/>
  <c r="V352" i="7" s="1"/>
  <c r="R351" i="7"/>
  <c r="G351" i="7"/>
  <c r="F351" i="7"/>
  <c r="E351" i="7" s="1"/>
  <c r="S350" i="7"/>
  <c r="S349" i="7"/>
  <c r="G349" i="7"/>
  <c r="F349" i="7"/>
  <c r="S348" i="7"/>
  <c r="B347" i="7"/>
  <c r="B348" i="7" s="1"/>
  <c r="F348" i="7" s="1"/>
  <c r="F346" i="7"/>
  <c r="B346" i="7"/>
  <c r="F345" i="7"/>
  <c r="B344" i="7"/>
  <c r="B343" i="7" s="1"/>
  <c r="F343" i="7" s="1"/>
  <c r="F341" i="7" s="1"/>
  <c r="T342" i="7"/>
  <c r="Q342" i="7"/>
  <c r="L338" i="7"/>
  <c r="K338" i="7"/>
  <c r="J338" i="7"/>
  <c r="I338" i="7"/>
  <c r="L337" i="7"/>
  <c r="L336" i="7" s="1"/>
  <c r="K337" i="7"/>
  <c r="J337" i="7"/>
  <c r="I337" i="7"/>
  <c r="E337" i="7"/>
  <c r="C338" i="7" s="1"/>
  <c r="D338" i="7" s="1"/>
  <c r="H336" i="7"/>
  <c r="C336" i="7"/>
  <c r="D336" i="7" s="1"/>
  <c r="R323" i="7"/>
  <c r="S322" i="7"/>
  <c r="B322" i="7"/>
  <c r="F322" i="7" s="1"/>
  <c r="S321" i="7"/>
  <c r="F321" i="7"/>
  <c r="S320" i="7"/>
  <c r="F320" i="7"/>
  <c r="B320" i="7"/>
  <c r="B319" i="7" s="1"/>
  <c r="F319" i="7" s="1"/>
  <c r="T319" i="7"/>
  <c r="V319" i="7" s="1"/>
  <c r="R318" i="7"/>
  <c r="G318" i="7"/>
  <c r="F318" i="7"/>
  <c r="E318" i="7" s="1"/>
  <c r="S317" i="7"/>
  <c r="S316" i="7"/>
  <c r="G316" i="7"/>
  <c r="F316" i="7"/>
  <c r="S315" i="7"/>
  <c r="B313" i="7"/>
  <c r="B314" i="7" s="1"/>
  <c r="F312" i="7"/>
  <c r="B311" i="7"/>
  <c r="B310" i="7" s="1"/>
  <c r="F310" i="7" s="1"/>
  <c r="T309" i="7"/>
  <c r="Q309" i="7"/>
  <c r="L305" i="7"/>
  <c r="K305" i="7"/>
  <c r="J305" i="7"/>
  <c r="I305" i="7"/>
  <c r="L304" i="7"/>
  <c r="L303" i="7" s="1"/>
  <c r="K304" i="7"/>
  <c r="J304" i="7"/>
  <c r="I304" i="7"/>
  <c r="E304" i="7"/>
  <c r="C305" i="7" s="1"/>
  <c r="D305" i="7" s="1"/>
  <c r="H303" i="7"/>
  <c r="C303" i="7"/>
  <c r="D303" i="7" s="1"/>
  <c r="R290" i="7"/>
  <c r="S289" i="7"/>
  <c r="F289" i="7"/>
  <c r="B289" i="7"/>
  <c r="B290" i="7" s="1"/>
  <c r="B291" i="7" s="1"/>
  <c r="F291" i="7" s="1"/>
  <c r="S288" i="7"/>
  <c r="F288" i="7"/>
  <c r="S287" i="7"/>
  <c r="B287" i="7"/>
  <c r="F287" i="7" s="1"/>
  <c r="T286" i="7"/>
  <c r="V286" i="7" s="1"/>
  <c r="R285" i="7"/>
  <c r="G285" i="7"/>
  <c r="F285" i="7"/>
  <c r="S284" i="7"/>
  <c r="S283" i="7"/>
  <c r="G283" i="7"/>
  <c r="F283" i="7"/>
  <c r="E283" i="7" s="1"/>
  <c r="S282" i="7"/>
  <c r="F280" i="7"/>
  <c r="B280" i="7"/>
  <c r="B281" i="7" s="1"/>
  <c r="F279" i="7"/>
  <c r="B278" i="7"/>
  <c r="F278" i="7" s="1"/>
  <c r="B277" i="7"/>
  <c r="F277" i="7" s="1"/>
  <c r="T276" i="7"/>
  <c r="Q276" i="7"/>
  <c r="L272" i="7"/>
  <c r="K272" i="7"/>
  <c r="J272" i="7"/>
  <c r="I272" i="7"/>
  <c r="L271" i="7"/>
  <c r="L270" i="7" s="1"/>
  <c r="K271" i="7"/>
  <c r="J271" i="7"/>
  <c r="I271" i="7"/>
  <c r="E271" i="7"/>
  <c r="C272" i="7" s="1"/>
  <c r="D272" i="7" s="1"/>
  <c r="H270" i="7"/>
  <c r="C270" i="7"/>
  <c r="D270" i="7" s="1"/>
  <c r="R257" i="7"/>
  <c r="S256" i="7"/>
  <c r="B256" i="7"/>
  <c r="B257" i="7" s="1"/>
  <c r="S255" i="7"/>
  <c r="F255" i="7"/>
  <c r="S254" i="7"/>
  <c r="B254" i="7"/>
  <c r="B253" i="7" s="1"/>
  <c r="F253" i="7" s="1"/>
  <c r="T253" i="7"/>
  <c r="V253" i="7" s="1"/>
  <c r="R252" i="7"/>
  <c r="S251" i="7"/>
  <c r="G251" i="7"/>
  <c r="F251" i="7"/>
  <c r="S250" i="7"/>
  <c r="S249" i="7"/>
  <c r="S252" i="7" s="1"/>
  <c r="Q252" i="7" s="1"/>
  <c r="B247" i="7"/>
  <c r="B248" i="7" s="1"/>
  <c r="F246" i="7"/>
  <c r="B245" i="7"/>
  <c r="B244" i="7" s="1"/>
  <c r="F244" i="7" s="1"/>
  <c r="T243" i="7"/>
  <c r="Q243" i="7"/>
  <c r="L239" i="7"/>
  <c r="K239" i="7"/>
  <c r="J239" i="7"/>
  <c r="I239" i="7"/>
  <c r="L238" i="7"/>
  <c r="L237" i="7" s="1"/>
  <c r="K238" i="7"/>
  <c r="J238" i="7"/>
  <c r="I238" i="7"/>
  <c r="E238" i="7"/>
  <c r="C239" i="7" s="1"/>
  <c r="D239" i="7" s="1"/>
  <c r="H237" i="7"/>
  <c r="C237" i="7"/>
  <c r="D237" i="7" s="1"/>
  <c r="R224" i="7"/>
  <c r="B224" i="7"/>
  <c r="B225" i="7" s="1"/>
  <c r="F225" i="7" s="1"/>
  <c r="S223" i="7"/>
  <c r="F223" i="7"/>
  <c r="B223" i="7"/>
  <c r="S222" i="7"/>
  <c r="F222" i="7"/>
  <c r="S221" i="7"/>
  <c r="B221" i="7"/>
  <c r="F221" i="7" s="1"/>
  <c r="T220" i="7"/>
  <c r="V220" i="7" s="1"/>
  <c r="R219" i="7"/>
  <c r="G219" i="7"/>
  <c r="F219" i="7"/>
  <c r="S218" i="7"/>
  <c r="S217" i="7"/>
  <c r="G217" i="7"/>
  <c r="E217" i="7" s="1"/>
  <c r="F217" i="7"/>
  <c r="S216" i="7"/>
  <c r="F214" i="7"/>
  <c r="B214" i="7"/>
  <c r="B215" i="7" s="1"/>
  <c r="F213" i="7"/>
  <c r="B212" i="7"/>
  <c r="F212" i="7" s="1"/>
  <c r="B211" i="7"/>
  <c r="F211" i="7" s="1"/>
  <c r="T210" i="7"/>
  <c r="Q210" i="7"/>
  <c r="L206" i="7"/>
  <c r="K206" i="7"/>
  <c r="J206" i="7"/>
  <c r="I206" i="7"/>
  <c r="L205" i="7"/>
  <c r="L204" i="7" s="1"/>
  <c r="K205" i="7"/>
  <c r="J205" i="7"/>
  <c r="I205" i="7"/>
  <c r="E205" i="7"/>
  <c r="C206" i="7" s="1"/>
  <c r="D206" i="7" s="1"/>
  <c r="H204" i="7"/>
  <c r="R191" i="7"/>
  <c r="S190" i="7"/>
  <c r="B190" i="7"/>
  <c r="B191" i="7" s="1"/>
  <c r="S189" i="7"/>
  <c r="F189" i="7"/>
  <c r="S188" i="7"/>
  <c r="F188" i="7"/>
  <c r="B188" i="7"/>
  <c r="T187" i="7"/>
  <c r="V187" i="7" s="1"/>
  <c r="B187" i="7"/>
  <c r="F187" i="7" s="1"/>
  <c r="R186" i="7"/>
  <c r="S185" i="7"/>
  <c r="G185" i="7"/>
  <c r="F185" i="7"/>
  <c r="E185" i="7" s="1"/>
  <c r="S184" i="7"/>
  <c r="S183" i="7"/>
  <c r="B182" i="7"/>
  <c r="B183" i="7" s="1"/>
  <c r="F183" i="7" s="1"/>
  <c r="B181" i="7"/>
  <c r="F181" i="7" s="1"/>
  <c r="F180" i="7"/>
  <c r="B179" i="7"/>
  <c r="F179" i="7" s="1"/>
  <c r="T177" i="7"/>
  <c r="Q177" i="7"/>
  <c r="L173" i="7"/>
  <c r="K173" i="7"/>
  <c r="J173" i="7"/>
  <c r="I173" i="7"/>
  <c r="L172" i="7"/>
  <c r="L171" i="7" s="1"/>
  <c r="K172" i="7"/>
  <c r="J172" i="7"/>
  <c r="I172" i="7"/>
  <c r="E172" i="7"/>
  <c r="C171" i="7" s="1"/>
  <c r="D171" i="7" s="1"/>
  <c r="H171" i="7"/>
  <c r="R158" i="7"/>
  <c r="S157" i="7"/>
  <c r="B157" i="7"/>
  <c r="B158" i="7" s="1"/>
  <c r="S156" i="7"/>
  <c r="F156" i="7"/>
  <c r="S155" i="7"/>
  <c r="F155" i="7"/>
  <c r="B155" i="7"/>
  <c r="T154" i="7"/>
  <c r="V154" i="7" s="1"/>
  <c r="B154" i="7"/>
  <c r="F154" i="7" s="1"/>
  <c r="R153" i="7"/>
  <c r="S152" i="7"/>
  <c r="G152" i="7"/>
  <c r="F152" i="7"/>
  <c r="E152" i="7" s="1"/>
  <c r="S151" i="7"/>
  <c r="S150" i="7"/>
  <c r="B149" i="7"/>
  <c r="B150" i="7" s="1"/>
  <c r="F150" i="7" s="1"/>
  <c r="B148" i="7"/>
  <c r="F148" i="7" s="1"/>
  <c r="F147" i="7"/>
  <c r="B146" i="7"/>
  <c r="F146" i="7" s="1"/>
  <c r="T144" i="7"/>
  <c r="Q144" i="7"/>
  <c r="L140" i="7"/>
  <c r="K140" i="7"/>
  <c r="J140" i="7"/>
  <c r="I140" i="7"/>
  <c r="L139" i="7"/>
  <c r="L138" i="7" s="1"/>
  <c r="K139" i="7"/>
  <c r="J139" i="7"/>
  <c r="I139" i="7"/>
  <c r="E139" i="7"/>
  <c r="C138" i="7" s="1"/>
  <c r="D138" i="7" s="1"/>
  <c r="H138" i="7"/>
  <c r="R125" i="7"/>
  <c r="S124" i="7"/>
  <c r="B124" i="7"/>
  <c r="B125" i="7" s="1"/>
  <c r="S123" i="7"/>
  <c r="F123" i="7"/>
  <c r="S122" i="7"/>
  <c r="F122" i="7"/>
  <c r="B122" i="7"/>
  <c r="T121" i="7"/>
  <c r="V121" i="7" s="1"/>
  <c r="B121" i="7"/>
  <c r="F121" i="7" s="1"/>
  <c r="R120" i="7"/>
  <c r="S119" i="7"/>
  <c r="G119" i="7"/>
  <c r="F119" i="7"/>
  <c r="E119" i="7" s="1"/>
  <c r="S118" i="7"/>
  <c r="S117" i="7"/>
  <c r="B116" i="7"/>
  <c r="B117" i="7" s="1"/>
  <c r="F117" i="7" s="1"/>
  <c r="F115" i="7"/>
  <c r="B115" i="7"/>
  <c r="F114" i="7"/>
  <c r="B113" i="7"/>
  <c r="F113" i="7" s="1"/>
  <c r="T111" i="7"/>
  <c r="Q111" i="7"/>
  <c r="L107" i="7"/>
  <c r="K107" i="7"/>
  <c r="J107" i="7"/>
  <c r="I107" i="7"/>
  <c r="L106" i="7"/>
  <c r="L105" i="7" s="1"/>
  <c r="K106" i="7"/>
  <c r="J106" i="7"/>
  <c r="I106" i="7"/>
  <c r="E106" i="7"/>
  <c r="C105" i="7" s="1"/>
  <c r="D105" i="7" s="1"/>
  <c r="H105" i="7"/>
  <c r="R92" i="7"/>
  <c r="S91" i="7"/>
  <c r="B91" i="7"/>
  <c r="B92" i="7" s="1"/>
  <c r="S90" i="7"/>
  <c r="F90" i="7"/>
  <c r="S89" i="7"/>
  <c r="F89" i="7"/>
  <c r="B89" i="7"/>
  <c r="T88" i="7"/>
  <c r="V88" i="7" s="1"/>
  <c r="B88" i="7"/>
  <c r="F88" i="7" s="1"/>
  <c r="S86" i="7"/>
  <c r="G86" i="7"/>
  <c r="F86" i="7"/>
  <c r="E86" i="7" s="1"/>
  <c r="S85" i="7"/>
  <c r="S84" i="7"/>
  <c r="B82" i="7"/>
  <c r="B83" i="7" s="1"/>
  <c r="F81" i="7"/>
  <c r="B80" i="7"/>
  <c r="B79" i="7" s="1"/>
  <c r="F79" i="7" s="1"/>
  <c r="T78" i="7"/>
  <c r="Q78" i="7"/>
  <c r="L74" i="7"/>
  <c r="K74" i="7"/>
  <c r="J74" i="7"/>
  <c r="I74" i="7"/>
  <c r="L73" i="7"/>
  <c r="L72" i="7" s="1"/>
  <c r="K73" i="7"/>
  <c r="J73" i="7"/>
  <c r="I73" i="7"/>
  <c r="E73" i="7"/>
  <c r="C74" i="7" s="1"/>
  <c r="D74" i="7" s="1"/>
  <c r="H72" i="7"/>
  <c r="R59" i="7"/>
  <c r="S58" i="7"/>
  <c r="B58" i="7"/>
  <c r="F58" i="7" s="1"/>
  <c r="S57" i="7"/>
  <c r="F57" i="7"/>
  <c r="S56" i="7"/>
  <c r="F56" i="7"/>
  <c r="B56" i="7"/>
  <c r="T55" i="7"/>
  <c r="V55" i="7" s="1"/>
  <c r="B55" i="7"/>
  <c r="F55" i="7" s="1"/>
  <c r="R54" i="7"/>
  <c r="S53" i="7"/>
  <c r="G53" i="7"/>
  <c r="F53" i="7"/>
  <c r="E53" i="7"/>
  <c r="S52" i="7"/>
  <c r="S51" i="7"/>
  <c r="B49" i="7"/>
  <c r="B50" i="7" s="1"/>
  <c r="F48" i="7"/>
  <c r="B47" i="7"/>
  <c r="F47" i="7" s="1"/>
  <c r="T45" i="7"/>
  <c r="Q45" i="7"/>
  <c r="L41" i="7"/>
  <c r="K41" i="7"/>
  <c r="J41" i="7"/>
  <c r="I41" i="7"/>
  <c r="L40" i="7"/>
  <c r="L39" i="7" s="1"/>
  <c r="K40" i="7"/>
  <c r="J40" i="7"/>
  <c r="I40" i="7"/>
  <c r="E40" i="7"/>
  <c r="C41" i="7" s="1"/>
  <c r="D41" i="7" s="1"/>
  <c r="H39" i="7"/>
  <c r="R26" i="7"/>
  <c r="S25" i="7"/>
  <c r="B25" i="7"/>
  <c r="F25" i="7" s="1"/>
  <c r="S24" i="7"/>
  <c r="F24" i="7"/>
  <c r="S23" i="7"/>
  <c r="F23" i="7"/>
  <c r="B23" i="7"/>
  <c r="T22" i="7"/>
  <c r="V22" i="7" s="1"/>
  <c r="B22" i="7"/>
  <c r="F22" i="7" s="1"/>
  <c r="R21" i="7"/>
  <c r="S20" i="7"/>
  <c r="G20" i="7"/>
  <c r="F20" i="7"/>
  <c r="E20" i="7" s="1"/>
  <c r="S19" i="7"/>
  <c r="S18" i="7"/>
  <c r="B17" i="7"/>
  <c r="B18" i="7" s="1"/>
  <c r="F18" i="7" s="1"/>
  <c r="F16" i="7"/>
  <c r="B16" i="7"/>
  <c r="F15" i="7"/>
  <c r="B14" i="7"/>
  <c r="B13" i="7" s="1"/>
  <c r="F13" i="7" s="1"/>
  <c r="F11" i="7" s="1"/>
  <c r="T12" i="7"/>
  <c r="Q12" i="7"/>
  <c r="L8" i="7"/>
  <c r="K8" i="7"/>
  <c r="J8" i="7"/>
  <c r="I8" i="7"/>
  <c r="L7" i="7"/>
  <c r="L6" i="7" s="1"/>
  <c r="K7" i="7"/>
  <c r="J7" i="7"/>
  <c r="I7" i="7"/>
  <c r="E7" i="7"/>
  <c r="C8" i="7" s="1"/>
  <c r="D8" i="7" s="1"/>
  <c r="H6" i="7"/>
  <c r="F17" i="7" l="1"/>
  <c r="F182" i="7"/>
  <c r="F245" i="7"/>
  <c r="F254" i="7"/>
  <c r="F82" i="7"/>
  <c r="S219" i="7"/>
  <c r="Q219" i="7" s="1"/>
  <c r="E251" i="7"/>
  <c r="F250" i="7" s="1"/>
  <c r="F311" i="7"/>
  <c r="E316" i="7"/>
  <c r="F347" i="7"/>
  <c r="B409" i="7"/>
  <c r="F409" i="7" s="1"/>
  <c r="F407" i="7" s="1"/>
  <c r="E415" i="7"/>
  <c r="E417" i="7"/>
  <c r="F416" i="7" s="1"/>
  <c r="F443" i="7"/>
  <c r="B479" i="7"/>
  <c r="B480" i="7" s="1"/>
  <c r="F480" i="7" s="1"/>
  <c r="B2537" i="7"/>
  <c r="F2537" i="7" s="1"/>
  <c r="F2536" i="7"/>
  <c r="F116" i="7"/>
  <c r="B112" i="7"/>
  <c r="F112" i="7" s="1"/>
  <c r="B145" i="7"/>
  <c r="F145" i="7" s="1"/>
  <c r="B178" i="7"/>
  <c r="F178" i="7" s="1"/>
  <c r="C204" i="7"/>
  <c r="D204" i="7" s="1"/>
  <c r="E219" i="7"/>
  <c r="B356" i="7"/>
  <c r="B357" i="7" s="1"/>
  <c r="F357" i="7" s="1"/>
  <c r="B380" i="7"/>
  <c r="B381" i="7" s="1"/>
  <c r="F381" i="7" s="1"/>
  <c r="E448" i="7"/>
  <c r="F449" i="7" s="1"/>
  <c r="E450" i="7"/>
  <c r="F440" i="7"/>
  <c r="B488" i="7"/>
  <c r="B521" i="7"/>
  <c r="B554" i="7"/>
  <c r="B587" i="7"/>
  <c r="B620" i="7"/>
  <c r="E646" i="7"/>
  <c r="E648" i="7"/>
  <c r="F647" i="7" s="1"/>
  <c r="C666" i="7"/>
  <c r="D666" i="7" s="1"/>
  <c r="E679" i="7"/>
  <c r="E681" i="7"/>
  <c r="F680" i="7" s="1"/>
  <c r="C699" i="7"/>
  <c r="D699" i="7" s="1"/>
  <c r="F718" i="7"/>
  <c r="B719" i="7"/>
  <c r="E285" i="7"/>
  <c r="B843" i="7"/>
  <c r="F843" i="7" s="1"/>
  <c r="F842" i="7"/>
  <c r="D1592" i="7"/>
  <c r="F1592" i="7" s="1"/>
  <c r="D1590" i="7"/>
  <c r="F1590" i="7" s="1"/>
  <c r="F49" i="7"/>
  <c r="F149" i="7"/>
  <c r="F308" i="7"/>
  <c r="E349" i="7"/>
  <c r="F374" i="7"/>
  <c r="B446" i="7"/>
  <c r="B447" i="7" s="1"/>
  <c r="F447" i="7" s="1"/>
  <c r="B739" i="7"/>
  <c r="F739" i="7" s="1"/>
  <c r="F737" i="7" s="1"/>
  <c r="S780" i="7"/>
  <c r="Q780" i="7" s="1"/>
  <c r="F808" i="7"/>
  <c r="F841" i="7"/>
  <c r="E846" i="7"/>
  <c r="C897" i="7"/>
  <c r="D897" i="7" s="1"/>
  <c r="F914" i="7"/>
  <c r="F940" i="7"/>
  <c r="C963" i="7"/>
  <c r="D963" i="7" s="1"/>
  <c r="S978" i="7"/>
  <c r="Q978" i="7" s="1"/>
  <c r="F1013" i="7"/>
  <c r="F1040" i="7"/>
  <c r="E1141" i="7"/>
  <c r="F1169" i="7"/>
  <c r="E1275" i="7"/>
  <c r="B1300" i="7"/>
  <c r="F1300" i="7" s="1"/>
  <c r="F1298" i="7" s="1"/>
  <c r="R1305" i="7"/>
  <c r="R1311" i="7"/>
  <c r="B1309" i="7"/>
  <c r="F1309" i="7" s="1"/>
  <c r="F1313" i="7"/>
  <c r="V1347" i="7"/>
  <c r="V1380" i="7"/>
  <c r="F1400" i="7"/>
  <c r="F1393" i="7"/>
  <c r="E1393" i="7" s="1"/>
  <c r="F1433" i="7"/>
  <c r="F1426" i="7"/>
  <c r="E1426" i="7" s="1"/>
  <c r="E1438" i="7"/>
  <c r="E1439" i="7" s="1"/>
  <c r="E1473" i="7"/>
  <c r="E1474" i="7" s="1"/>
  <c r="G1507" i="7"/>
  <c r="B1544" i="7"/>
  <c r="B1573" i="7"/>
  <c r="F1573" i="7" s="1"/>
  <c r="B1597" i="7"/>
  <c r="F1597" i="7" s="1"/>
  <c r="R1635" i="7"/>
  <c r="T1635" i="7" s="1"/>
  <c r="R1668" i="7"/>
  <c r="T1668" i="7" s="1"/>
  <c r="B1672" i="7"/>
  <c r="F1672" i="7" s="1"/>
  <c r="R1707" i="7"/>
  <c r="T1707" i="7" s="1"/>
  <c r="B1709" i="7"/>
  <c r="B1941" i="7"/>
  <c r="F1941" i="7" s="1"/>
  <c r="B2521" i="7"/>
  <c r="F2521" i="7" s="1"/>
  <c r="F2519" i="7" s="1"/>
  <c r="E778" i="7"/>
  <c r="F779" i="7" s="1"/>
  <c r="E780" i="7"/>
  <c r="B904" i="7"/>
  <c r="F904" i="7" s="1"/>
  <c r="F902" i="7" s="1"/>
  <c r="S917" i="7"/>
  <c r="E976" i="7"/>
  <c r="F977" i="7" s="1"/>
  <c r="E978" i="7"/>
  <c r="F1063" i="7"/>
  <c r="E1063" i="7" s="1"/>
  <c r="B1111" i="7"/>
  <c r="F1111" i="7" s="1"/>
  <c r="F1237" i="7"/>
  <c r="B1271" i="7"/>
  <c r="F1271" i="7" s="1"/>
  <c r="E1308" i="7"/>
  <c r="B1337" i="7"/>
  <c r="E1339" i="7"/>
  <c r="E1340" i="7" s="1"/>
  <c r="B1366" i="7"/>
  <c r="F1366" i="7" s="1"/>
  <c r="F1364" i="7" s="1"/>
  <c r="B1370" i="7"/>
  <c r="F1370" i="7" s="1"/>
  <c r="F1463" i="7"/>
  <c r="E1537" i="7"/>
  <c r="E1538" i="7" s="1"/>
  <c r="G1573" i="7"/>
  <c r="V1644" i="7"/>
  <c r="B1733" i="7"/>
  <c r="F1774" i="7"/>
  <c r="B1799" i="7"/>
  <c r="F1805" i="7"/>
  <c r="E1869" i="7"/>
  <c r="V1908" i="7"/>
  <c r="E1966" i="7"/>
  <c r="F1996" i="7"/>
  <c r="F1987" i="7" s="1"/>
  <c r="E1987" i="7" s="1"/>
  <c r="B2006" i="7"/>
  <c r="F2006" i="7" s="1"/>
  <c r="F2030" i="7"/>
  <c r="F2194" i="7"/>
  <c r="F2237" i="7"/>
  <c r="E2298" i="7"/>
  <c r="E2299" i="7" s="1"/>
  <c r="F2326" i="7"/>
  <c r="F2317" i="7" s="1"/>
  <c r="E2317" i="7" s="1"/>
  <c r="F2336" i="7"/>
  <c r="E2362" i="7"/>
  <c r="E2361" i="7" s="1"/>
  <c r="E2364" i="7"/>
  <c r="E2365" i="7" s="1"/>
  <c r="B2398" i="7"/>
  <c r="F2398" i="7" s="1"/>
  <c r="F2387" i="7" s="1"/>
  <c r="F2423" i="7"/>
  <c r="B2431" i="7"/>
  <c r="F2431" i="7" s="1"/>
  <c r="F2420" i="7" s="1"/>
  <c r="F2434" i="7"/>
  <c r="F2416" i="7" s="1"/>
  <c r="E2416" i="7" s="1"/>
  <c r="F2453" i="7"/>
  <c r="E2461" i="7"/>
  <c r="E2460" i="7" s="1"/>
  <c r="B2497" i="7"/>
  <c r="F2497" i="7" s="1"/>
  <c r="F2486" i="7" s="1"/>
  <c r="F2501" i="7"/>
  <c r="L1128" i="7"/>
  <c r="L1194" i="7"/>
  <c r="F1496" i="7"/>
  <c r="F1939" i="7"/>
  <c r="E2100" i="7"/>
  <c r="G2105" i="7"/>
  <c r="F2128" i="7"/>
  <c r="F2159" i="7"/>
  <c r="B2167" i="7"/>
  <c r="F2167" i="7" s="1"/>
  <c r="F2156" i="7" s="1"/>
  <c r="M2186" i="7"/>
  <c r="F2203" i="7"/>
  <c r="B2233" i="7"/>
  <c r="F2233" i="7" s="1"/>
  <c r="F2222" i="7" s="1"/>
  <c r="E2263" i="7"/>
  <c r="E2262" i="7" s="1"/>
  <c r="E2395" i="7"/>
  <c r="E2394" i="7" s="1"/>
  <c r="V2403" i="7"/>
  <c r="F2449" i="7"/>
  <c r="E2449" i="7" s="1"/>
  <c r="E2496" i="7"/>
  <c r="E2497" i="7" s="1"/>
  <c r="F2535" i="7"/>
  <c r="F803" i="7"/>
  <c r="F908" i="7"/>
  <c r="E912" i="7"/>
  <c r="F911" i="7" s="1"/>
  <c r="E943" i="7"/>
  <c r="F1001" i="7"/>
  <c r="F1006" i="7"/>
  <c r="E1011" i="7"/>
  <c r="E1042" i="7"/>
  <c r="F1043" i="7" s="1"/>
  <c r="R1032" i="7" s="1"/>
  <c r="E1242" i="7"/>
  <c r="F1241" i="7" s="1"/>
  <c r="E1306" i="7"/>
  <c r="E1307" i="7" s="1"/>
  <c r="F1312" i="7"/>
  <c r="V1413" i="7"/>
  <c r="V1446" i="7"/>
  <c r="B1478" i="7"/>
  <c r="B1479" i="7" s="1"/>
  <c r="F1479" i="7" s="1"/>
  <c r="E1570" i="7"/>
  <c r="E1569" i="7" s="1"/>
  <c r="E1605" i="7"/>
  <c r="E1606" i="7" s="1"/>
  <c r="F1643" i="7"/>
  <c r="E1669" i="7"/>
  <c r="E1668" i="7" s="1"/>
  <c r="E1704" i="7"/>
  <c r="E1705" i="7" s="1"/>
  <c r="G1734" i="7"/>
  <c r="E1836" i="7"/>
  <c r="F1874" i="7"/>
  <c r="B1974" i="7"/>
  <c r="F1974" i="7" s="1"/>
  <c r="F2020" i="7"/>
  <c r="E2020" i="7" s="1"/>
  <c r="E2065" i="7"/>
  <c r="B2073" i="7"/>
  <c r="F2073" i="7" s="1"/>
  <c r="B2097" i="7"/>
  <c r="F2097" i="7" s="1"/>
  <c r="V2106" i="7"/>
  <c r="G2171" i="7"/>
  <c r="E2232" i="7"/>
  <c r="E2233" i="7" s="1"/>
  <c r="V2337" i="7"/>
  <c r="V2370" i="7"/>
  <c r="E2428" i="7"/>
  <c r="E2427" i="7" s="1"/>
  <c r="Q2466" i="7"/>
  <c r="U2499" i="7"/>
  <c r="S2499" i="7" s="1"/>
  <c r="T2499" i="7" s="1"/>
  <c r="E2494" i="7"/>
  <c r="E2493" i="7" s="1"/>
  <c r="V2502" i="7"/>
  <c r="F2524" i="7"/>
  <c r="F2515" i="7" s="1"/>
  <c r="E2515" i="7" s="1"/>
  <c r="S351" i="7"/>
  <c r="Q351" i="7" s="1"/>
  <c r="S422" i="7"/>
  <c r="S483" i="7"/>
  <c r="Q483" i="7" s="1"/>
  <c r="S747" i="7"/>
  <c r="Q747" i="7" s="1"/>
  <c r="S945" i="7"/>
  <c r="Q945" i="7" s="1"/>
  <c r="S1044" i="7"/>
  <c r="Q1044" i="7" s="1"/>
  <c r="V1743" i="7"/>
  <c r="V1809" i="7"/>
  <c r="S26" i="7"/>
  <c r="Q26" i="7" s="1"/>
  <c r="S884" i="7"/>
  <c r="S1049" i="7"/>
  <c r="V1479" i="7"/>
  <c r="T1509" i="7"/>
  <c r="R1839" i="7"/>
  <c r="T1839" i="7" s="1"/>
  <c r="S752" i="7"/>
  <c r="Q752" i="7" s="1"/>
  <c r="S813" i="7"/>
  <c r="Q813" i="7" s="1"/>
  <c r="R1115" i="7"/>
  <c r="V1611" i="7"/>
  <c r="V1512" i="7"/>
  <c r="R2103" i="7"/>
  <c r="T2103" i="7" s="1"/>
  <c r="R2202" i="7"/>
  <c r="T2202" i="7" s="1"/>
  <c r="R2229" i="7"/>
  <c r="S120" i="7"/>
  <c r="Q120" i="7" s="1"/>
  <c r="S153" i="7"/>
  <c r="Q153" i="7" s="1"/>
  <c r="S186" i="7"/>
  <c r="Q186" i="7" s="1"/>
  <c r="S516" i="7"/>
  <c r="Q516" i="7" s="1"/>
  <c r="S549" i="7"/>
  <c r="Q549" i="7" s="1"/>
  <c r="S582" i="7"/>
  <c r="Q582" i="7" s="1"/>
  <c r="S615" i="7"/>
  <c r="Q615" i="7" s="1"/>
  <c r="S648" i="7"/>
  <c r="Q648" i="7" s="1"/>
  <c r="S681" i="7"/>
  <c r="Q681" i="7" s="1"/>
  <c r="S818" i="7"/>
  <c r="S912" i="7"/>
  <c r="Q912" i="7" s="1"/>
  <c r="S950" i="7"/>
  <c r="S983" i="7"/>
  <c r="Q983" i="7" s="1"/>
  <c r="S1011" i="7"/>
  <c r="Q1011" i="7" s="1"/>
  <c r="S1148" i="7"/>
  <c r="R1443" i="7"/>
  <c r="T1443" i="7" s="1"/>
  <c r="R2064" i="7"/>
  <c r="T2064" i="7" s="1"/>
  <c r="R1503" i="7"/>
  <c r="P1512" i="7" s="1"/>
  <c r="V1578" i="7"/>
  <c r="R1641" i="7"/>
  <c r="T1641" i="7" s="1"/>
  <c r="R1872" i="7"/>
  <c r="T1872" i="7" s="1"/>
  <c r="S224" i="7"/>
  <c r="S384" i="7"/>
  <c r="Q384" i="7" s="1"/>
  <c r="S455" i="7"/>
  <c r="S1111" i="7"/>
  <c r="S1115" i="7" s="1"/>
  <c r="R1410" i="7"/>
  <c r="T1410" i="7" s="1"/>
  <c r="R1938" i="7"/>
  <c r="T1938" i="7" s="1"/>
  <c r="S318" i="7"/>
  <c r="Q318" i="7" s="1"/>
  <c r="S719" i="7"/>
  <c r="S846" i="7"/>
  <c r="Q846" i="7" s="1"/>
  <c r="S1016" i="7"/>
  <c r="S1017" i="7" s="1"/>
  <c r="S1208" i="7"/>
  <c r="Q1208" i="7" s="1"/>
  <c r="T1272" i="7"/>
  <c r="R1404" i="7"/>
  <c r="R1437" i="7"/>
  <c r="T1437" i="7" s="1"/>
  <c r="R2004" i="7"/>
  <c r="R2031" i="7"/>
  <c r="T2031" i="7" s="1"/>
  <c r="R2169" i="7"/>
  <c r="T2169" i="7" s="1"/>
  <c r="R2196" i="7"/>
  <c r="T2196" i="7" s="1"/>
  <c r="V2469" i="7"/>
  <c r="Q719" i="7"/>
  <c r="R1470" i="7"/>
  <c r="R1476" i="7"/>
  <c r="T1476" i="7" s="1"/>
  <c r="R1569" i="7"/>
  <c r="V1677" i="7"/>
  <c r="R1806" i="7"/>
  <c r="T1806" i="7" s="1"/>
  <c r="R2136" i="7"/>
  <c r="T2136" i="7" s="1"/>
  <c r="Q2489" i="7"/>
  <c r="S714" i="7"/>
  <c r="Q714" i="7" s="1"/>
  <c r="S1082" i="7"/>
  <c r="S1241" i="7"/>
  <c r="Q1241" i="7" s="1"/>
  <c r="R1536" i="7"/>
  <c r="R1767" i="7"/>
  <c r="T1767" i="7" s="1"/>
  <c r="R1866" i="7"/>
  <c r="R1932" i="7"/>
  <c r="P1941" i="7" s="1"/>
  <c r="R1965" i="7"/>
  <c r="R2070" i="7"/>
  <c r="T2070" i="7" s="1"/>
  <c r="Q2268" i="7"/>
  <c r="P2271" i="7" s="1"/>
  <c r="Q2499" i="7"/>
  <c r="P2502" i="7" s="1"/>
  <c r="V2538" i="7"/>
  <c r="S21" i="7"/>
  <c r="Q21" i="7" s="1"/>
  <c r="S87" i="7"/>
  <c r="S285" i="7"/>
  <c r="Q285" i="7" s="1"/>
  <c r="S290" i="7"/>
  <c r="S323" i="7"/>
  <c r="S356" i="7"/>
  <c r="S417" i="7"/>
  <c r="Q417" i="7" s="1"/>
  <c r="S851" i="7"/>
  <c r="Q851" i="7" s="1"/>
  <c r="S1076" i="7"/>
  <c r="Q1076" i="7" s="1"/>
  <c r="S1109" i="7"/>
  <c r="Q1109" i="7" s="1"/>
  <c r="R1542" i="7"/>
  <c r="T1542" i="7" s="1"/>
  <c r="R1701" i="7"/>
  <c r="R1971" i="7"/>
  <c r="T1971" i="7" s="1"/>
  <c r="R2130" i="7"/>
  <c r="V2205" i="7"/>
  <c r="V2238" i="7"/>
  <c r="U2268" i="7"/>
  <c r="S2268" i="7" s="1"/>
  <c r="Q2390" i="7"/>
  <c r="S54" i="7"/>
  <c r="Q54" i="7" s="1"/>
  <c r="S59" i="7"/>
  <c r="S92" i="7"/>
  <c r="Q92" i="7" s="1"/>
  <c r="S125" i="7"/>
  <c r="S158" i="7"/>
  <c r="S159" i="7" s="1"/>
  <c r="S191" i="7"/>
  <c r="Q191" i="7" s="1"/>
  <c r="S257" i="7"/>
  <c r="Q257" i="7" s="1"/>
  <c r="S389" i="7"/>
  <c r="S450" i="7"/>
  <c r="Q450" i="7" s="1"/>
  <c r="S488" i="7"/>
  <c r="Q488" i="7" s="1"/>
  <c r="S521" i="7"/>
  <c r="Q521" i="7" s="1"/>
  <c r="S554" i="7"/>
  <c r="S587" i="7"/>
  <c r="S588" i="7" s="1"/>
  <c r="S620" i="7"/>
  <c r="Q620" i="7" s="1"/>
  <c r="S653" i="7"/>
  <c r="Q653" i="7" s="1"/>
  <c r="S686" i="7"/>
  <c r="S785" i="7"/>
  <c r="Q785" i="7" s="1"/>
  <c r="S879" i="7"/>
  <c r="S885" i="7" s="1"/>
  <c r="S1142" i="7"/>
  <c r="Q1142" i="7" s="1"/>
  <c r="T1311" i="7"/>
  <c r="R1371" i="7"/>
  <c r="T1371" i="7" s="1"/>
  <c r="R1377" i="7"/>
  <c r="T1377" i="7" s="1"/>
  <c r="R1575" i="7"/>
  <c r="T1575" i="7" s="1"/>
  <c r="R1773" i="7"/>
  <c r="T1773" i="7" s="1"/>
  <c r="R1833" i="7"/>
  <c r="T1833" i="7" s="1"/>
  <c r="R1899" i="7"/>
  <c r="R1905" i="7"/>
  <c r="T1905" i="7" s="1"/>
  <c r="R2163" i="7"/>
  <c r="T2163" i="7" s="1"/>
  <c r="R2235" i="7"/>
  <c r="T2235" i="7" s="1"/>
  <c r="B93" i="7"/>
  <c r="F93" i="7" s="1"/>
  <c r="F92" i="7"/>
  <c r="B126" i="7"/>
  <c r="F126" i="7" s="1"/>
  <c r="F125" i="7"/>
  <c r="B159" i="7"/>
  <c r="F159" i="7" s="1"/>
  <c r="F158" i="7"/>
  <c r="B192" i="7"/>
  <c r="F192" i="7" s="1"/>
  <c r="F191" i="7"/>
  <c r="Q224" i="7"/>
  <c r="S225" i="7"/>
  <c r="F242" i="7"/>
  <c r="Q290" i="7"/>
  <c r="Q323" i="7"/>
  <c r="Q356" i="7"/>
  <c r="F83" i="7"/>
  <c r="B84" i="7"/>
  <c r="F84" i="7" s="1"/>
  <c r="S126" i="7"/>
  <c r="Q125" i="7"/>
  <c r="S258" i="7"/>
  <c r="B282" i="7"/>
  <c r="F282" i="7" s="1"/>
  <c r="F281" i="7"/>
  <c r="B315" i="7"/>
  <c r="F315" i="7" s="1"/>
  <c r="F314" i="7"/>
  <c r="S390" i="7"/>
  <c r="Q389" i="7"/>
  <c r="S555" i="7"/>
  <c r="Q554" i="7"/>
  <c r="Q587" i="7"/>
  <c r="S687" i="7"/>
  <c r="Q686" i="7"/>
  <c r="B258" i="7"/>
  <c r="F258" i="7" s="1"/>
  <c r="F257" i="7"/>
  <c r="Q422" i="7"/>
  <c r="B51" i="7"/>
  <c r="F51" i="7" s="1"/>
  <c r="F50" i="7"/>
  <c r="F77" i="7"/>
  <c r="F110" i="7"/>
  <c r="F143" i="7"/>
  <c r="F176" i="7"/>
  <c r="B216" i="7"/>
  <c r="F216" i="7" s="1"/>
  <c r="F215" i="7"/>
  <c r="B249" i="7"/>
  <c r="F249" i="7" s="1"/>
  <c r="F248" i="7"/>
  <c r="Q455" i="7"/>
  <c r="B46" i="7"/>
  <c r="F46" i="7" s="1"/>
  <c r="F44" i="7" s="1"/>
  <c r="B26" i="7"/>
  <c r="B59" i="7"/>
  <c r="F91" i="7"/>
  <c r="C107" i="7"/>
  <c r="D107" i="7" s="1"/>
  <c r="F124" i="7"/>
  <c r="C140" i="7"/>
  <c r="D140" i="7" s="1"/>
  <c r="F157" i="7"/>
  <c r="C173" i="7"/>
  <c r="D173" i="7" s="1"/>
  <c r="F190" i="7"/>
  <c r="B220" i="7"/>
  <c r="F220" i="7" s="1"/>
  <c r="F209" i="7" s="1"/>
  <c r="F256" i="7"/>
  <c r="B286" i="7"/>
  <c r="F286" i="7" s="1"/>
  <c r="F275" i="7" s="1"/>
  <c r="B323" i="7"/>
  <c r="F353" i="7"/>
  <c r="F356" i="7"/>
  <c r="F386" i="7"/>
  <c r="F389" i="7"/>
  <c r="F419" i="7"/>
  <c r="F422" i="7"/>
  <c r="F452" i="7"/>
  <c r="F455" i="7"/>
  <c r="F485" i="7"/>
  <c r="B484" i="7"/>
  <c r="F484" i="7" s="1"/>
  <c r="F473" i="7" s="1"/>
  <c r="B512" i="7"/>
  <c r="F551" i="7"/>
  <c r="B550" i="7"/>
  <c r="F550" i="7" s="1"/>
  <c r="F539" i="7" s="1"/>
  <c r="B578" i="7"/>
  <c r="F617" i="7"/>
  <c r="B616" i="7"/>
  <c r="F616" i="7" s="1"/>
  <c r="F605" i="7" s="1"/>
  <c r="B644" i="7"/>
  <c r="F683" i="7"/>
  <c r="B682" i="7"/>
  <c r="F682" i="7" s="1"/>
  <c r="F671" i="7" s="1"/>
  <c r="B710" i="7"/>
  <c r="B720" i="7"/>
  <c r="F720" i="7" s="1"/>
  <c r="F719" i="7"/>
  <c r="B776" i="7"/>
  <c r="F775" i="7"/>
  <c r="B810" i="7"/>
  <c r="F810" i="7" s="1"/>
  <c r="F809" i="7"/>
  <c r="S852" i="7"/>
  <c r="F869" i="7"/>
  <c r="F941" i="7"/>
  <c r="B942" i="7"/>
  <c r="F942" i="7" s="1"/>
  <c r="B1008" i="7"/>
  <c r="F1008" i="7" s="1"/>
  <c r="F1007" i="7"/>
  <c r="C1194" i="7"/>
  <c r="C1196" i="7"/>
  <c r="D1196" i="7" s="1"/>
  <c r="C6" i="7"/>
  <c r="D6" i="7" s="1"/>
  <c r="E481" i="7"/>
  <c r="F482" i="7" s="1"/>
  <c r="B522" i="7"/>
  <c r="F522" i="7" s="1"/>
  <c r="F521" i="7"/>
  <c r="B588" i="7"/>
  <c r="F588" i="7" s="1"/>
  <c r="F587" i="7"/>
  <c r="B654" i="7"/>
  <c r="F654" i="7" s="1"/>
  <c r="F653" i="7"/>
  <c r="F716" i="7"/>
  <c r="B715" i="7"/>
  <c r="F715" i="7" s="1"/>
  <c r="F704" i="7" s="1"/>
  <c r="F746" i="7"/>
  <c r="E747" i="7"/>
  <c r="B885" i="7"/>
  <c r="F885" i="7" s="1"/>
  <c r="F884" i="7"/>
  <c r="B918" i="7"/>
  <c r="F918" i="7" s="1"/>
  <c r="F917" i="7"/>
  <c r="B975" i="7"/>
  <c r="F975" i="7" s="1"/>
  <c r="F974" i="7"/>
  <c r="C1029" i="7"/>
  <c r="D1029" i="7" s="1"/>
  <c r="C1031" i="7"/>
  <c r="D1031" i="7" s="1"/>
  <c r="C1064" i="7"/>
  <c r="C1062" i="7"/>
  <c r="D1062" i="7" s="1"/>
  <c r="C39" i="7"/>
  <c r="D39" i="7" s="1"/>
  <c r="C72" i="7"/>
  <c r="D72" i="7" s="1"/>
  <c r="F14" i="7"/>
  <c r="F80" i="7"/>
  <c r="F224" i="7"/>
  <c r="F247" i="7"/>
  <c r="F290" i="7"/>
  <c r="F313" i="7"/>
  <c r="F344" i="7"/>
  <c r="F380" i="7"/>
  <c r="F413" i="7"/>
  <c r="F446" i="7"/>
  <c r="F479" i="7"/>
  <c r="F518" i="7"/>
  <c r="B517" i="7"/>
  <c r="F517" i="7" s="1"/>
  <c r="F506" i="7" s="1"/>
  <c r="B545" i="7"/>
  <c r="F584" i="7"/>
  <c r="B583" i="7"/>
  <c r="F583" i="7" s="1"/>
  <c r="F572" i="7" s="1"/>
  <c r="B611" i="7"/>
  <c r="F650" i="7"/>
  <c r="B649" i="7"/>
  <c r="F649" i="7" s="1"/>
  <c r="F638" i="7" s="1"/>
  <c r="B677" i="7"/>
  <c r="S819" i="7"/>
  <c r="Q818" i="7"/>
  <c r="Q884" i="7"/>
  <c r="Q917" i="7"/>
  <c r="F935" i="7"/>
  <c r="Q950" i="7"/>
  <c r="S984" i="7"/>
  <c r="Q1016" i="7"/>
  <c r="F1034" i="7"/>
  <c r="Q1049" i="7"/>
  <c r="F1274" i="7"/>
  <c r="E1276" i="7"/>
  <c r="B489" i="7"/>
  <c r="F489" i="7" s="1"/>
  <c r="F488" i="7"/>
  <c r="B555" i="7"/>
  <c r="F555" i="7" s="1"/>
  <c r="F554" i="7"/>
  <c r="E580" i="7"/>
  <c r="F581" i="7" s="1"/>
  <c r="B621" i="7"/>
  <c r="F621" i="7" s="1"/>
  <c r="F620" i="7"/>
  <c r="B687" i="7"/>
  <c r="F687" i="7" s="1"/>
  <c r="F686" i="7"/>
  <c r="B744" i="7"/>
  <c r="F744" i="7" s="1"/>
  <c r="F743" i="7"/>
  <c r="B1017" i="7"/>
  <c r="F1017" i="7" s="1"/>
  <c r="F1016" i="7"/>
  <c r="S1083" i="7"/>
  <c r="P1077" i="7" s="1"/>
  <c r="Q1082" i="7"/>
  <c r="F749" i="7"/>
  <c r="F752" i="7"/>
  <c r="B781" i="7"/>
  <c r="F781" i="7" s="1"/>
  <c r="F770" i="7" s="1"/>
  <c r="F815" i="7"/>
  <c r="F818" i="7"/>
  <c r="F848" i="7"/>
  <c r="F851" i="7"/>
  <c r="F883" i="7"/>
  <c r="F916" i="7"/>
  <c r="B950" i="7"/>
  <c r="B979" i="7"/>
  <c r="F979" i="7" s="1"/>
  <c r="F968" i="7" s="1"/>
  <c r="F1015" i="7"/>
  <c r="B1049" i="7"/>
  <c r="F1073" i="7"/>
  <c r="B1106" i="7"/>
  <c r="F1105" i="7"/>
  <c r="F1096" i="7" s="1"/>
  <c r="E1096" i="7" s="1"/>
  <c r="S1116" i="7"/>
  <c r="P1110" i="7" s="1"/>
  <c r="F1136" i="7"/>
  <c r="B1135" i="7"/>
  <c r="F1135" i="7" s="1"/>
  <c r="F1133" i="7" s="1"/>
  <c r="S1175" i="7"/>
  <c r="Q1175" i="7" s="1"/>
  <c r="F1175" i="7"/>
  <c r="F1202" i="7"/>
  <c r="B1201" i="7"/>
  <c r="F1201" i="7" s="1"/>
  <c r="F1208" i="7"/>
  <c r="B1210" i="7"/>
  <c r="F1210" i="7" s="1"/>
  <c r="F1235" i="7"/>
  <c r="B1234" i="7"/>
  <c r="F1234" i="7" s="1"/>
  <c r="F1244" i="7"/>
  <c r="B1243" i="7"/>
  <c r="F1243" i="7" s="1"/>
  <c r="B1247" i="7"/>
  <c r="F1246" i="7"/>
  <c r="F1228" i="7" s="1"/>
  <c r="E1228" i="7" s="1"/>
  <c r="V1281" i="7"/>
  <c r="R1338" i="7"/>
  <c r="R1344" i="7"/>
  <c r="T1344" i="7" s="1"/>
  <c r="B1380" i="7"/>
  <c r="F1380" i="7" s="1"/>
  <c r="F1379" i="7"/>
  <c r="F1397" i="7"/>
  <c r="T1404" i="7"/>
  <c r="P1413" i="7"/>
  <c r="D1394" i="7"/>
  <c r="D1392" i="7"/>
  <c r="F1529" i="7"/>
  <c r="P1578" i="7"/>
  <c r="T1569" i="7"/>
  <c r="B1578" i="7"/>
  <c r="F1578" i="7" s="1"/>
  <c r="F1577" i="7"/>
  <c r="E1076" i="7"/>
  <c r="B1083" i="7"/>
  <c r="F1083" i="7" s="1"/>
  <c r="F1082" i="7"/>
  <c r="F1103" i="7"/>
  <c r="B1102" i="7"/>
  <c r="F1102" i="7" s="1"/>
  <c r="F1100" i="7" s="1"/>
  <c r="R1214" i="7"/>
  <c r="S1210" i="7"/>
  <c r="S1214" i="7" s="1"/>
  <c r="B1215" i="7"/>
  <c r="F1215" i="7" s="1"/>
  <c r="F1214" i="7"/>
  <c r="B1239" i="7"/>
  <c r="F1239" i="7" s="1"/>
  <c r="F1238" i="7"/>
  <c r="D1262" i="7"/>
  <c r="F1277" i="7"/>
  <c r="B1276" i="7"/>
  <c r="F1276" i="7" s="1"/>
  <c r="F1265" i="7" s="1"/>
  <c r="B1346" i="7"/>
  <c r="F1345" i="7"/>
  <c r="F1327" i="7" s="1"/>
  <c r="E1327" i="7" s="1"/>
  <c r="D1427" i="7"/>
  <c r="D1425" i="7"/>
  <c r="B1446" i="7"/>
  <c r="F1446" i="7" s="1"/>
  <c r="F1445" i="7"/>
  <c r="P1776" i="7"/>
  <c r="P1875" i="7"/>
  <c r="T1866" i="7"/>
  <c r="F785" i="7"/>
  <c r="F839" i="7"/>
  <c r="F875" i="7"/>
  <c r="F938" i="7"/>
  <c r="F973" i="7"/>
  <c r="F983" i="7"/>
  <c r="F1037" i="7"/>
  <c r="F1079" i="7"/>
  <c r="B1078" i="7"/>
  <c r="F1078" i="7" s="1"/>
  <c r="F1067" i="7" s="1"/>
  <c r="B1116" i="7"/>
  <c r="F1116" i="7" s="1"/>
  <c r="F1115" i="7"/>
  <c r="R1148" i="7"/>
  <c r="Q1148" i="7" s="1"/>
  <c r="E1243" i="7"/>
  <c r="C1260" i="7"/>
  <c r="B1272" i="7"/>
  <c r="F1272" i="7" s="1"/>
  <c r="R1278" i="7"/>
  <c r="T1278" i="7" s="1"/>
  <c r="B1281" i="7"/>
  <c r="F1281" i="7" s="1"/>
  <c r="B1333" i="7"/>
  <c r="F1333" i="7" s="1"/>
  <c r="F1331" i="7" s="1"/>
  <c r="B1338" i="7"/>
  <c r="F1338" i="7" s="1"/>
  <c r="F1337" i="7"/>
  <c r="F1412" i="7"/>
  <c r="B1413" i="7"/>
  <c r="F1413" i="7" s="1"/>
  <c r="T1470" i="7"/>
  <c r="D1460" i="7"/>
  <c r="D1458" i="7"/>
  <c r="B1512" i="7"/>
  <c r="F1512" i="7" s="1"/>
  <c r="F1511" i="7"/>
  <c r="F1535" i="7"/>
  <c r="B1536" i="7"/>
  <c r="F1536" i="7" s="1"/>
  <c r="P1710" i="7"/>
  <c r="T1701" i="7"/>
  <c r="B1140" i="7"/>
  <c r="F1140" i="7" s="1"/>
  <c r="F1139" i="7"/>
  <c r="F1147" i="7"/>
  <c r="F1129" i="7" s="1"/>
  <c r="E1129" i="7" s="1"/>
  <c r="B1148" i="7"/>
  <c r="F1171" i="7"/>
  <c r="F1162" i="7" s="1"/>
  <c r="E1162" i="7" s="1"/>
  <c r="B1172" i="7"/>
  <c r="R1181" i="7"/>
  <c r="S1177" i="7"/>
  <c r="S1181" i="7" s="1"/>
  <c r="B1182" i="7"/>
  <c r="F1182" i="7" s="1"/>
  <c r="F1181" i="7"/>
  <c r="F1205" i="7"/>
  <c r="B1206" i="7"/>
  <c r="F1206" i="7" s="1"/>
  <c r="S1247" i="7"/>
  <c r="R1247" i="7"/>
  <c r="P1314" i="7"/>
  <c r="Q1314" i="7" s="1"/>
  <c r="T1305" i="7"/>
  <c r="B1304" i="7"/>
  <c r="F1303" i="7"/>
  <c r="F1294" i="7" s="1"/>
  <c r="E1294" i="7" s="1"/>
  <c r="T1536" i="7"/>
  <c r="P1545" i="7"/>
  <c r="F1562" i="7"/>
  <c r="D1722" i="7"/>
  <c r="D1724" i="7"/>
  <c r="B1371" i="7"/>
  <c r="F1371" i="7" s="1"/>
  <c r="B1403" i="7"/>
  <c r="B1436" i="7"/>
  <c r="B1470" i="7"/>
  <c r="F1470" i="7" s="1"/>
  <c r="B1502" i="7"/>
  <c r="F1534" i="7"/>
  <c r="F1525" i="7" s="1"/>
  <c r="E1525" i="7" s="1"/>
  <c r="F1541" i="7"/>
  <c r="B1569" i="7"/>
  <c r="F1569" i="7" s="1"/>
  <c r="E1572" i="7"/>
  <c r="E1573" i="7" s="1"/>
  <c r="E1590" i="7"/>
  <c r="G1606" i="7"/>
  <c r="B1610" i="7"/>
  <c r="G1639" i="7"/>
  <c r="B1663" i="7"/>
  <c r="F1663" i="7" s="1"/>
  <c r="F1661" i="7" s="1"/>
  <c r="F1657" i="7"/>
  <c r="E1657" i="7" s="1"/>
  <c r="B1676" i="7"/>
  <c r="M1691" i="7"/>
  <c r="B1742" i="7"/>
  <c r="B1800" i="7"/>
  <c r="F1800" i="7" s="1"/>
  <c r="F1799" i="7"/>
  <c r="D2019" i="7"/>
  <c r="D2021" i="7"/>
  <c r="F1595" i="7"/>
  <c r="B1602" i="7"/>
  <c r="F1602" i="7" s="1"/>
  <c r="F1601" i="7"/>
  <c r="B1634" i="7"/>
  <c r="F1633" i="7"/>
  <c r="F1624" i="7" s="1"/>
  <c r="E1624" i="7" s="1"/>
  <c r="F1697" i="7"/>
  <c r="B1696" i="7"/>
  <c r="F1696" i="7" s="1"/>
  <c r="G1705" i="7"/>
  <c r="F1733" i="7"/>
  <c r="B1734" i="7"/>
  <c r="F1734" i="7" s="1"/>
  <c r="F1763" i="7"/>
  <c r="B1762" i="7"/>
  <c r="F1762" i="7" s="1"/>
  <c r="V1776" i="7"/>
  <c r="F1838" i="7"/>
  <c r="B1837" i="7"/>
  <c r="F1837" i="7" s="1"/>
  <c r="F1862" i="7"/>
  <c r="B1861" i="7"/>
  <c r="F1861" i="7" s="1"/>
  <c r="P1974" i="7"/>
  <c r="T1965" i="7"/>
  <c r="F1378" i="7"/>
  <c r="F1360" i="7" s="1"/>
  <c r="E1360" i="7" s="1"/>
  <c r="F1466" i="7"/>
  <c r="F1478" i="7"/>
  <c r="F1510" i="7"/>
  <c r="F1492" i="7" s="1"/>
  <c r="E1492" i="7" s="1"/>
  <c r="F1565" i="7"/>
  <c r="F1576" i="7"/>
  <c r="F1558" i="7" s="1"/>
  <c r="E1558" i="7" s="1"/>
  <c r="C1590" i="7"/>
  <c r="C1592" i="7"/>
  <c r="R1608" i="7"/>
  <c r="T1608" i="7" s="1"/>
  <c r="E1636" i="7"/>
  <c r="E1635" i="7" s="1"/>
  <c r="G1635" i="7"/>
  <c r="B1639" i="7"/>
  <c r="F1639" i="7" s="1"/>
  <c r="F1628" i="7" s="1"/>
  <c r="F1640" i="7"/>
  <c r="B1668" i="7"/>
  <c r="F1668" i="7" s="1"/>
  <c r="F1667" i="7"/>
  <c r="R1674" i="7"/>
  <c r="T1674" i="7" s="1"/>
  <c r="B1700" i="7"/>
  <c r="F1699" i="7"/>
  <c r="F1690" i="7" s="1"/>
  <c r="E1690" i="7" s="1"/>
  <c r="F1727" i="7"/>
  <c r="R1740" i="7"/>
  <c r="T1740" i="7" s="1"/>
  <c r="F1765" i="7"/>
  <c r="F1756" i="7" s="1"/>
  <c r="E1756" i="7" s="1"/>
  <c r="B1766" i="7"/>
  <c r="R1800" i="7"/>
  <c r="F1807" i="7"/>
  <c r="F1789" i="7" s="1"/>
  <c r="E1789" i="7" s="1"/>
  <c r="B1808" i="7"/>
  <c r="T1503" i="7"/>
  <c r="G1569" i="7"/>
  <c r="E1592" i="7"/>
  <c r="R1602" i="7"/>
  <c r="P1644" i="7"/>
  <c r="E1671" i="7"/>
  <c r="E1672" i="7" s="1"/>
  <c r="E1702" i="7"/>
  <c r="E1701" i="7" s="1"/>
  <c r="G1701" i="7"/>
  <c r="B1705" i="7"/>
  <c r="F1705" i="7" s="1"/>
  <c r="F1706" i="7"/>
  <c r="V1710" i="7"/>
  <c r="R1734" i="7"/>
  <c r="G1738" i="7"/>
  <c r="E1737" i="7"/>
  <c r="E1738" i="7" s="1"/>
  <c r="F1831" i="7"/>
  <c r="F1822" i="7" s="1"/>
  <c r="E1822" i="7" s="1"/>
  <c r="B1832" i="7"/>
  <c r="P1842" i="7"/>
  <c r="T1899" i="7"/>
  <c r="T1932" i="7"/>
  <c r="G1771" i="7"/>
  <c r="G1804" i="7"/>
  <c r="M1823" i="7"/>
  <c r="V1842" i="7" s="1"/>
  <c r="F1829" i="7"/>
  <c r="B1828" i="7"/>
  <c r="F1828" i="7" s="1"/>
  <c r="F1826" i="7" s="1"/>
  <c r="B1865" i="7"/>
  <c r="F1864" i="7"/>
  <c r="F1855" i="7" s="1"/>
  <c r="E1855" i="7" s="1"/>
  <c r="F1871" i="7"/>
  <c r="B1870" i="7"/>
  <c r="F1870" i="7" s="1"/>
  <c r="B1898" i="7"/>
  <c r="F1897" i="7"/>
  <c r="F1888" i="7" s="1"/>
  <c r="E1888" i="7" s="1"/>
  <c r="F1937" i="7"/>
  <c r="B1936" i="7"/>
  <c r="F1936" i="7" s="1"/>
  <c r="F1925" i="7" s="1"/>
  <c r="G1973" i="7"/>
  <c r="B1993" i="7"/>
  <c r="F1993" i="7" s="1"/>
  <c r="F1991" i="7" s="1"/>
  <c r="F1997" i="7"/>
  <c r="B1998" i="7"/>
  <c r="F1998" i="7" s="1"/>
  <c r="T2004" i="7"/>
  <c r="F1930" i="7"/>
  <c r="F1921" i="7" s="1"/>
  <c r="E1921" i="7" s="1"/>
  <c r="B1931" i="7"/>
  <c r="V1974" i="7"/>
  <c r="F2027" i="7"/>
  <c r="B2026" i="7"/>
  <c r="F2026" i="7" s="1"/>
  <c r="F2024" i="7" s="1"/>
  <c r="F1772" i="7"/>
  <c r="B1771" i="7"/>
  <c r="F1771" i="7" s="1"/>
  <c r="G1907" i="7"/>
  <c r="G1940" i="7"/>
  <c r="F1970" i="7"/>
  <c r="B1969" i="7"/>
  <c r="F1969" i="7" s="1"/>
  <c r="F1958" i="7" s="1"/>
  <c r="D1988" i="7"/>
  <c r="D1986" i="7"/>
  <c r="R1998" i="7"/>
  <c r="B2007" i="7"/>
  <c r="F2007" i="7" s="1"/>
  <c r="F1904" i="7"/>
  <c r="B1903" i="7"/>
  <c r="F1903" i="7" s="1"/>
  <c r="F1892" i="7" s="1"/>
  <c r="V1941" i="7"/>
  <c r="F1963" i="7"/>
  <c r="F1954" i="7" s="1"/>
  <c r="E1954" i="7" s="1"/>
  <c r="B1964" i="7"/>
  <c r="E2032" i="7"/>
  <c r="M2021" i="7"/>
  <c r="V2040" i="7" s="1"/>
  <c r="M2054" i="7"/>
  <c r="V2073" i="7" s="1"/>
  <c r="P2106" i="7"/>
  <c r="T2097" i="7"/>
  <c r="P2139" i="7"/>
  <c r="T2130" i="7"/>
  <c r="F2119" i="7"/>
  <c r="E2119" i="7" s="1"/>
  <c r="F2171" i="7"/>
  <c r="B2172" i="7"/>
  <c r="F2172" i="7" s="1"/>
  <c r="F2189" i="7"/>
  <c r="F2228" i="7"/>
  <c r="B2229" i="7"/>
  <c r="F2229" i="7" s="1"/>
  <c r="F2255" i="7"/>
  <c r="R2037" i="7"/>
  <c r="T2037" i="7" s="1"/>
  <c r="F2062" i="7"/>
  <c r="F2053" i="7" s="1"/>
  <c r="E2053" i="7" s="1"/>
  <c r="B2063" i="7"/>
  <c r="P2073" i="7"/>
  <c r="F2069" i="7"/>
  <c r="B2068" i="7"/>
  <c r="F2068" i="7" s="1"/>
  <c r="F2057" i="7" s="1"/>
  <c r="P2238" i="7"/>
  <c r="T2229" i="7"/>
  <c r="F2123" i="7"/>
  <c r="V2139" i="7"/>
  <c r="B2196" i="7"/>
  <c r="F2196" i="7" s="1"/>
  <c r="F2195" i="7"/>
  <c r="B2205" i="7"/>
  <c r="F2205" i="7" s="1"/>
  <c r="F2204" i="7"/>
  <c r="D2250" i="7"/>
  <c r="D2252" i="7"/>
  <c r="F2105" i="7"/>
  <c r="B2106" i="7"/>
  <c r="F2106" i="7" s="1"/>
  <c r="B2130" i="7"/>
  <c r="F2130" i="7" s="1"/>
  <c r="F2129" i="7"/>
  <c r="P2205" i="7"/>
  <c r="B2092" i="7"/>
  <c r="F2092" i="7" s="1"/>
  <c r="F2104" i="7"/>
  <c r="F2086" i="7" s="1"/>
  <c r="E2086" i="7" s="1"/>
  <c r="B2139" i="7"/>
  <c r="F2139" i="7" s="1"/>
  <c r="F2170" i="7"/>
  <c r="F2152" i="7" s="1"/>
  <c r="E2152" i="7" s="1"/>
  <c r="F2227" i="7"/>
  <c r="F2218" i="7" s="1"/>
  <c r="E2218" i="7" s="1"/>
  <c r="B2261" i="7"/>
  <c r="V2271" i="7"/>
  <c r="B2294" i="7"/>
  <c r="F2300" i="7"/>
  <c r="B2299" i="7"/>
  <c r="F2299" i="7" s="1"/>
  <c r="B2323" i="7"/>
  <c r="F2323" i="7" s="1"/>
  <c r="F2321" i="7" s="1"/>
  <c r="F2324" i="7"/>
  <c r="F2369" i="7"/>
  <c r="B2370" i="7"/>
  <c r="F2370" i="7" s="1"/>
  <c r="Q2400" i="7"/>
  <c r="S2400" i="7"/>
  <c r="R2429" i="7"/>
  <c r="U2429" i="7" s="1"/>
  <c r="Q2429" i="7" s="1"/>
  <c r="U2423" i="7"/>
  <c r="B2101" i="7"/>
  <c r="F2101" i="7" s="1"/>
  <c r="B2162" i="7"/>
  <c r="U2301" i="7"/>
  <c r="S2301" i="7" s="1"/>
  <c r="Q2291" i="7"/>
  <c r="Q2301" i="7" s="1"/>
  <c r="E2296" i="7"/>
  <c r="E2295" i="7" s="1"/>
  <c r="M2284" i="7"/>
  <c r="M2285" i="7" s="1"/>
  <c r="V2304" i="7" s="1"/>
  <c r="B2303" i="7"/>
  <c r="F2302" i="7"/>
  <c r="F2284" i="7" s="1"/>
  <c r="E2284" i="7" s="1"/>
  <c r="F2350" i="7"/>
  <c r="E2350" i="7" s="1"/>
  <c r="P2469" i="7"/>
  <c r="D2448" i="7"/>
  <c r="D2450" i="7"/>
  <c r="B2493" i="7"/>
  <c r="F2493" i="7" s="1"/>
  <c r="F2492" i="7"/>
  <c r="B2271" i="7"/>
  <c r="F2271" i="7" s="1"/>
  <c r="B2290" i="7"/>
  <c r="F2290" i="7" s="1"/>
  <c r="Q2324" i="7"/>
  <c r="Q2334" i="7" s="1"/>
  <c r="U2334" i="7"/>
  <c r="S2334" i="7" s="1"/>
  <c r="F2327" i="7"/>
  <c r="B2328" i="7"/>
  <c r="F2328" i="7" s="1"/>
  <c r="M2316" i="7"/>
  <c r="F2383" i="7"/>
  <c r="E2383" i="7" s="1"/>
  <c r="F2482" i="7"/>
  <c r="E2482" i="7" s="1"/>
  <c r="B2526" i="7"/>
  <c r="F2526" i="7" s="1"/>
  <c r="F2525" i="7"/>
  <c r="D2316" i="7"/>
  <c r="D2318" i="7"/>
  <c r="D2516" i="7"/>
  <c r="D2514" i="7"/>
  <c r="R2367" i="7"/>
  <c r="B2393" i="7"/>
  <c r="B2426" i="7"/>
  <c r="B2459" i="7"/>
  <c r="B2356" i="7"/>
  <c r="F2356" i="7" s="1"/>
  <c r="F2354" i="7" s="1"/>
  <c r="U2357" i="7"/>
  <c r="F2368" i="7"/>
  <c r="F2402" i="7"/>
  <c r="M2415" i="7"/>
  <c r="U2466" i="7"/>
  <c r="S2466" i="7" s="1"/>
  <c r="T2466" i="7" s="1"/>
  <c r="F2468" i="7"/>
  <c r="M2481" i="7"/>
  <c r="R2523" i="7"/>
  <c r="B2360" i="7"/>
  <c r="M2382" i="7"/>
  <c r="F2435" i="7"/>
  <c r="M2448" i="7"/>
  <c r="D2417" i="7" l="1"/>
  <c r="D2415" i="7"/>
  <c r="S423" i="7"/>
  <c r="S192" i="7"/>
  <c r="F2185" i="7"/>
  <c r="E2185" i="7" s="1"/>
  <c r="S357" i="7"/>
  <c r="B1545" i="7"/>
  <c r="F1545" i="7" s="1"/>
  <c r="F1544" i="7"/>
  <c r="S951" i="7"/>
  <c r="S918" i="7"/>
  <c r="S324" i="7"/>
  <c r="Q1115" i="7"/>
  <c r="S1050" i="7"/>
  <c r="M2349" i="7"/>
  <c r="B1710" i="7"/>
  <c r="F1710" i="7" s="1"/>
  <c r="F1709" i="7"/>
  <c r="P2172" i="7"/>
  <c r="S654" i="7"/>
  <c r="P649" i="7" s="1"/>
  <c r="S522" i="7"/>
  <c r="S93" i="7"/>
  <c r="Q93" i="7" s="1"/>
  <c r="P1380" i="7"/>
  <c r="S1149" i="7"/>
  <c r="P1143" i="7" s="1"/>
  <c r="S27" i="7"/>
  <c r="P1908" i="7"/>
  <c r="S621" i="7"/>
  <c r="P1446" i="7"/>
  <c r="P1479" i="7"/>
  <c r="S753" i="7"/>
  <c r="P748" i="7" s="1"/>
  <c r="R2433" i="7"/>
  <c r="S291" i="7"/>
  <c r="Q291" i="7" s="1"/>
  <c r="S60" i="7"/>
  <c r="P55" i="7" s="1"/>
  <c r="S786" i="7"/>
  <c r="P781" i="7" s="1"/>
  <c r="S456" i="7"/>
  <c r="Q456" i="7" s="1"/>
  <c r="Q158" i="7"/>
  <c r="Q59" i="7"/>
  <c r="S489" i="7"/>
  <c r="P484" i="7" s="1"/>
  <c r="T2268" i="7"/>
  <c r="S720" i="7"/>
  <c r="D2283" i="7"/>
  <c r="D2285" i="7"/>
  <c r="D2151" i="7"/>
  <c r="D2153" i="7"/>
  <c r="D1491" i="7"/>
  <c r="D1493" i="7"/>
  <c r="C1229" i="7"/>
  <c r="D1229" i="7" s="1"/>
  <c r="C1227" i="7"/>
  <c r="D1227" i="7" s="1"/>
  <c r="D2087" i="7"/>
  <c r="D2085" i="7"/>
  <c r="D1559" i="7"/>
  <c r="D1557" i="7"/>
  <c r="C1130" i="7"/>
  <c r="C1128" i="7"/>
  <c r="D1128" i="7" s="1"/>
  <c r="F2426" i="7"/>
  <c r="B2427" i="7"/>
  <c r="F2427" i="7" s="1"/>
  <c r="C2516" i="7"/>
  <c r="F2516" i="7"/>
  <c r="E2516" i="7" s="1"/>
  <c r="F2318" i="7"/>
  <c r="E2318" i="7" s="1"/>
  <c r="C2318" i="7"/>
  <c r="F2288" i="7"/>
  <c r="F2303" i="7"/>
  <c r="B2304" i="7"/>
  <c r="F2304" i="7" s="1"/>
  <c r="U2433" i="7"/>
  <c r="S2433" i="7" s="1"/>
  <c r="Q2423" i="7"/>
  <c r="Q2433" i="7" s="1"/>
  <c r="P2403" i="7"/>
  <c r="T2400" i="7"/>
  <c r="D2219" i="7"/>
  <c r="D2217" i="7"/>
  <c r="F2090" i="7"/>
  <c r="D1953" i="7"/>
  <c r="D1955" i="7"/>
  <c r="D1920" i="7"/>
  <c r="D1922" i="7"/>
  <c r="F1898" i="7"/>
  <c r="B1899" i="7"/>
  <c r="F1899" i="7" s="1"/>
  <c r="F1865" i="7"/>
  <c r="B1866" i="7"/>
  <c r="F1866" i="7" s="1"/>
  <c r="D1823" i="7"/>
  <c r="D1821" i="7"/>
  <c r="D1755" i="7"/>
  <c r="D1757" i="7"/>
  <c r="B1701" i="7"/>
  <c r="F1701" i="7" s="1"/>
  <c r="F1700" i="7"/>
  <c r="F1859" i="7"/>
  <c r="D1623" i="7"/>
  <c r="D1625" i="7"/>
  <c r="D1658" i="7"/>
  <c r="D1656" i="7"/>
  <c r="F1724" i="7"/>
  <c r="E1724" i="7" s="1"/>
  <c r="C1724" i="7"/>
  <c r="E1425" i="7"/>
  <c r="C1425" i="7"/>
  <c r="C1097" i="7"/>
  <c r="C1095" i="7"/>
  <c r="D1095" i="7" s="1"/>
  <c r="P979" i="7"/>
  <c r="Q984" i="7"/>
  <c r="P880" i="7"/>
  <c r="Q885" i="7"/>
  <c r="T1202" i="7"/>
  <c r="D1194" i="7"/>
  <c r="T1203" i="7" s="1"/>
  <c r="Q852" i="7"/>
  <c r="P847" i="7"/>
  <c r="B777" i="7"/>
  <c r="F777" i="7" s="1"/>
  <c r="F776" i="7"/>
  <c r="F512" i="7"/>
  <c r="B513" i="7"/>
  <c r="F513" i="7" s="1"/>
  <c r="Q423" i="7"/>
  <c r="P418" i="7"/>
  <c r="Q60" i="7"/>
  <c r="Q324" i="7"/>
  <c r="P319" i="7"/>
  <c r="F2360" i="7"/>
  <c r="B2361" i="7"/>
  <c r="F2361" i="7" s="1"/>
  <c r="U2367" i="7"/>
  <c r="Q2357" i="7"/>
  <c r="Q2367" i="7" s="1"/>
  <c r="F2393" i="7"/>
  <c r="B2394" i="7"/>
  <c r="F2394" i="7" s="1"/>
  <c r="C2316" i="7"/>
  <c r="F2316" i="7"/>
  <c r="E2316" i="7" s="1"/>
  <c r="D2483" i="7"/>
  <c r="D2481" i="7"/>
  <c r="F2162" i="7"/>
  <c r="B2163" i="7"/>
  <c r="F2163" i="7" s="1"/>
  <c r="F2294" i="7"/>
  <c r="B2295" i="7"/>
  <c r="F2295" i="7" s="1"/>
  <c r="B2064" i="7"/>
  <c r="F2064" i="7" s="1"/>
  <c r="F2063" i="7"/>
  <c r="P2007" i="7"/>
  <c r="T1998" i="7"/>
  <c r="D1790" i="7"/>
  <c r="D1788" i="7"/>
  <c r="P1677" i="7"/>
  <c r="D1361" i="7"/>
  <c r="D1359" i="7"/>
  <c r="F1760" i="7"/>
  <c r="F1634" i="7"/>
  <c r="B1635" i="7"/>
  <c r="F1635" i="7" s="1"/>
  <c r="F2021" i="7"/>
  <c r="E2021" i="7" s="1"/>
  <c r="C2021" i="7"/>
  <c r="B1743" i="7"/>
  <c r="F1743" i="7" s="1"/>
  <c r="F1742" i="7"/>
  <c r="D1524" i="7"/>
  <c r="D1526" i="7"/>
  <c r="B1437" i="7"/>
  <c r="F1437" i="7" s="1"/>
  <c r="F1436" i="7"/>
  <c r="F1722" i="7"/>
  <c r="E1722" i="7"/>
  <c r="C1722" i="7"/>
  <c r="D1293" i="7"/>
  <c r="D1295" i="7"/>
  <c r="B1173" i="7"/>
  <c r="F1173" i="7" s="1"/>
  <c r="F1172" i="7"/>
  <c r="C1427" i="7"/>
  <c r="E1427" i="7"/>
  <c r="C1392" i="7"/>
  <c r="E1392" i="7"/>
  <c r="F1232" i="7"/>
  <c r="F1199" i="7"/>
  <c r="F1106" i="7"/>
  <c r="B1107" i="7"/>
  <c r="F1107" i="7" s="1"/>
  <c r="Q753" i="7"/>
  <c r="F545" i="7"/>
  <c r="B546" i="7"/>
  <c r="F546" i="7" s="1"/>
  <c r="F578" i="7"/>
  <c r="B579" i="7"/>
  <c r="F579" i="7" s="1"/>
  <c r="P22" i="7"/>
  <c r="Q27" i="7"/>
  <c r="P682" i="7"/>
  <c r="Q687" i="7"/>
  <c r="P616" i="7"/>
  <c r="Q621" i="7"/>
  <c r="P550" i="7"/>
  <c r="Q555" i="7"/>
  <c r="P253" i="7"/>
  <c r="Q258" i="7"/>
  <c r="P154" i="7"/>
  <c r="Q159" i="7"/>
  <c r="P88" i="7"/>
  <c r="P220" i="7"/>
  <c r="Q225" i="7"/>
  <c r="U2523" i="7"/>
  <c r="R2534" i="7"/>
  <c r="S2367" i="7"/>
  <c r="F2415" i="7"/>
  <c r="E2415" i="7" s="1"/>
  <c r="C2415" i="7"/>
  <c r="D2382" i="7"/>
  <c r="D2384" i="7"/>
  <c r="C2450" i="7"/>
  <c r="F2450" i="7"/>
  <c r="E2450" i="7" s="1"/>
  <c r="D2349" i="7"/>
  <c r="D2351" i="7"/>
  <c r="F2252" i="7"/>
  <c r="E2252" i="7"/>
  <c r="C2252" i="7"/>
  <c r="D2054" i="7"/>
  <c r="D2052" i="7"/>
  <c r="D2118" i="7"/>
  <c r="D2120" i="7"/>
  <c r="F1986" i="7"/>
  <c r="E1986" i="7" s="1"/>
  <c r="C1986" i="7"/>
  <c r="T1800" i="7"/>
  <c r="P1809" i="7"/>
  <c r="F1694" i="7"/>
  <c r="C2019" i="7"/>
  <c r="E2019" i="7"/>
  <c r="F2019" i="7"/>
  <c r="B1503" i="7"/>
  <c r="F1503" i="7" s="1"/>
  <c r="F1502" i="7"/>
  <c r="B1404" i="7"/>
  <c r="F1404" i="7" s="1"/>
  <c r="F1403" i="7"/>
  <c r="B1305" i="7"/>
  <c r="F1305" i="7" s="1"/>
  <c r="F1304" i="7"/>
  <c r="S1248" i="7"/>
  <c r="P1242" i="7" s="1"/>
  <c r="Q1247" i="7"/>
  <c r="C1163" i="7"/>
  <c r="D1163" i="7" s="1"/>
  <c r="C1161" i="7"/>
  <c r="F1458" i="7"/>
  <c r="E1458" i="7" s="1"/>
  <c r="C1458" i="7"/>
  <c r="D1328" i="7"/>
  <c r="D1326" i="7"/>
  <c r="E1262" i="7"/>
  <c r="C1262" i="7"/>
  <c r="E1394" i="7"/>
  <c r="C1394" i="7"/>
  <c r="F1247" i="7"/>
  <c r="B1248" i="7"/>
  <c r="F1248" i="7" s="1"/>
  <c r="B951" i="7"/>
  <c r="F951" i="7" s="1"/>
  <c r="F950" i="7"/>
  <c r="P1281" i="7"/>
  <c r="Q1281" i="7" s="1"/>
  <c r="Q951" i="7"/>
  <c r="P946" i="7"/>
  <c r="P913" i="7"/>
  <c r="Q918" i="7"/>
  <c r="Q819" i="7"/>
  <c r="P814" i="7"/>
  <c r="F611" i="7"/>
  <c r="B612" i="7"/>
  <c r="F612" i="7" s="1"/>
  <c r="T1070" i="7"/>
  <c r="D1064" i="7"/>
  <c r="F644" i="7"/>
  <c r="B645" i="7"/>
  <c r="F645" i="7" s="1"/>
  <c r="B60" i="7"/>
  <c r="F60" i="7" s="1"/>
  <c r="F59" i="7"/>
  <c r="P451" i="7"/>
  <c r="F2459" i="7"/>
  <c r="B2460" i="7"/>
  <c r="F2460" i="7" s="1"/>
  <c r="C2514" i="7"/>
  <c r="F2514" i="7"/>
  <c r="E2514" i="7" s="1"/>
  <c r="C2417" i="7"/>
  <c r="F2417" i="7"/>
  <c r="E2417" i="7" s="1"/>
  <c r="P2337" i="7"/>
  <c r="T2334" i="7"/>
  <c r="E2448" i="7"/>
  <c r="C2448" i="7"/>
  <c r="F2448" i="7"/>
  <c r="P2304" i="7"/>
  <c r="T2301" i="7"/>
  <c r="B2262" i="7"/>
  <c r="F2262" i="7" s="1"/>
  <c r="F2261" i="7"/>
  <c r="C2250" i="7"/>
  <c r="F2250" i="7"/>
  <c r="E2250" i="7" s="1"/>
  <c r="B1965" i="7"/>
  <c r="F1965" i="7" s="1"/>
  <c r="F1964" i="7"/>
  <c r="F1988" i="7"/>
  <c r="E1988" i="7" s="1"/>
  <c r="C1988" i="7"/>
  <c r="P2040" i="7"/>
  <c r="F1931" i="7"/>
  <c r="B1932" i="7"/>
  <c r="F1932" i="7" s="1"/>
  <c r="D1889" i="7"/>
  <c r="D1887" i="7"/>
  <c r="D1854" i="7"/>
  <c r="D1856" i="7"/>
  <c r="B1833" i="7"/>
  <c r="F1833" i="7" s="1"/>
  <c r="F1832" i="7"/>
  <c r="T1734" i="7"/>
  <c r="P1743" i="7"/>
  <c r="T1602" i="7"/>
  <c r="P1611" i="7"/>
  <c r="B1809" i="7"/>
  <c r="F1809" i="7" s="1"/>
  <c r="F1808" i="7"/>
  <c r="B1767" i="7"/>
  <c r="F1767" i="7" s="1"/>
  <c r="F1766" i="7"/>
  <c r="D1689" i="7"/>
  <c r="D1691" i="7"/>
  <c r="F1676" i="7"/>
  <c r="B1677" i="7"/>
  <c r="F1677" i="7" s="1"/>
  <c r="F1610" i="7"/>
  <c r="B1611" i="7"/>
  <c r="F1611" i="7" s="1"/>
  <c r="S1182" i="7"/>
  <c r="P1176" i="7" s="1"/>
  <c r="Q1181" i="7"/>
  <c r="B1149" i="7"/>
  <c r="F1149" i="7" s="1"/>
  <c r="F1148" i="7"/>
  <c r="C1460" i="7"/>
  <c r="F1460" i="7"/>
  <c r="E1460" i="7"/>
  <c r="B1347" i="7"/>
  <c r="F1347" i="7" s="1"/>
  <c r="F1346" i="7"/>
  <c r="S1215" i="7"/>
  <c r="P1209" i="7" s="1"/>
  <c r="Q1214" i="7"/>
  <c r="T1338" i="7"/>
  <c r="P1347" i="7"/>
  <c r="Q1347" i="7" s="1"/>
  <c r="B1050" i="7"/>
  <c r="F1050" i="7" s="1"/>
  <c r="F1049" i="7"/>
  <c r="Q1050" i="7"/>
  <c r="P1045" i="7"/>
  <c r="P1012" i="7"/>
  <c r="Q1017" i="7"/>
  <c r="F677" i="7"/>
  <c r="B678" i="7"/>
  <c r="F678" i="7" s="1"/>
  <c r="F710" i="7"/>
  <c r="B711" i="7"/>
  <c r="F711" i="7" s="1"/>
  <c r="B324" i="7"/>
  <c r="F324" i="7" s="1"/>
  <c r="F323" i="7"/>
  <c r="B27" i="7"/>
  <c r="F27" i="7" s="1"/>
  <c r="F26" i="7"/>
  <c r="Q654" i="7"/>
  <c r="P583" i="7"/>
  <c r="Q588" i="7"/>
  <c r="P517" i="7"/>
  <c r="Q522" i="7"/>
  <c r="Q390" i="7"/>
  <c r="P385" i="7"/>
  <c r="P187" i="7"/>
  <c r="Q192" i="7"/>
  <c r="Q126" i="7"/>
  <c r="P121" i="7"/>
  <c r="Q357" i="7"/>
  <c r="P352" i="7"/>
  <c r="D2184" i="7" l="1"/>
  <c r="D2186" i="7"/>
  <c r="P286" i="7"/>
  <c r="Q489" i="7"/>
  <c r="Q786" i="7"/>
  <c r="P715" i="7"/>
  <c r="Q720" i="7"/>
  <c r="F1887" i="7"/>
  <c r="E1887" i="7" s="1"/>
  <c r="C1887" i="7"/>
  <c r="E1326" i="7"/>
  <c r="C1326" i="7"/>
  <c r="F2120" i="7"/>
  <c r="E2120" i="7"/>
  <c r="C2120" i="7"/>
  <c r="C2349" i="7"/>
  <c r="F2349" i="7"/>
  <c r="E2349" i="7" s="1"/>
  <c r="C2384" i="7"/>
  <c r="F2384" i="7"/>
  <c r="E2384" i="7" s="1"/>
  <c r="E1293" i="7"/>
  <c r="C1293" i="7"/>
  <c r="E1359" i="7"/>
  <c r="C1359" i="7"/>
  <c r="F1790" i="7"/>
  <c r="E1790" i="7" s="1"/>
  <c r="C1790" i="7"/>
  <c r="P2370" i="7"/>
  <c r="T2367" i="7"/>
  <c r="E1623" i="7"/>
  <c r="C1623" i="7"/>
  <c r="F1623" i="7"/>
  <c r="C1757" i="7"/>
  <c r="E1757" i="7"/>
  <c r="F1757" i="7"/>
  <c r="F1922" i="7"/>
  <c r="C1922" i="7"/>
  <c r="E1922" i="7"/>
  <c r="C1557" i="7"/>
  <c r="F1557" i="7"/>
  <c r="E1557" i="7"/>
  <c r="F2153" i="7"/>
  <c r="E2153" i="7" s="1"/>
  <c r="C2153" i="7"/>
  <c r="F1889" i="7"/>
  <c r="E1889" i="7" s="1"/>
  <c r="C1889" i="7"/>
  <c r="E1328" i="7"/>
  <c r="C1328" i="7"/>
  <c r="T1169" i="7"/>
  <c r="D1161" i="7"/>
  <c r="C2118" i="7"/>
  <c r="F2118" i="7"/>
  <c r="E2118" i="7" s="1"/>
  <c r="C2382" i="7"/>
  <c r="F2382" i="7"/>
  <c r="E2382" i="7" s="1"/>
  <c r="E1361" i="7"/>
  <c r="C1361" i="7"/>
  <c r="F2481" i="7"/>
  <c r="E2481" i="7" s="1"/>
  <c r="C2481" i="7"/>
  <c r="F1656" i="7"/>
  <c r="E1656" i="7" s="1"/>
  <c r="C1656" i="7"/>
  <c r="E1755" i="7"/>
  <c r="C1755" i="7"/>
  <c r="F1755" i="7"/>
  <c r="F1920" i="7"/>
  <c r="E1920" i="7" s="1"/>
  <c r="C1920" i="7"/>
  <c r="F2217" i="7"/>
  <c r="E2217" i="7"/>
  <c r="C2217" i="7"/>
  <c r="P2436" i="7"/>
  <c r="T2433" i="7"/>
  <c r="C1559" i="7"/>
  <c r="F1559" i="7"/>
  <c r="E1559" i="7" s="1"/>
  <c r="C2151" i="7"/>
  <c r="F2151" i="7"/>
  <c r="E2151" i="7" s="1"/>
  <c r="C1691" i="7"/>
  <c r="F1691" i="7"/>
  <c r="E1691" i="7" s="1"/>
  <c r="C1856" i="7"/>
  <c r="F1856" i="7"/>
  <c r="E1856" i="7" s="1"/>
  <c r="F2052" i="7"/>
  <c r="E2052" i="7" s="1"/>
  <c r="C2052" i="7"/>
  <c r="C1526" i="7"/>
  <c r="F1526" i="7"/>
  <c r="E1526" i="7" s="1"/>
  <c r="C2483" i="7"/>
  <c r="F2483" i="7"/>
  <c r="E2483" i="7" s="1"/>
  <c r="F1658" i="7"/>
  <c r="E1658" i="7" s="1"/>
  <c r="C1658" i="7"/>
  <c r="C1821" i="7"/>
  <c r="F1821" i="7"/>
  <c r="E1821" i="7" s="1"/>
  <c r="F1955" i="7"/>
  <c r="E1955" i="7" s="1"/>
  <c r="C1955" i="7"/>
  <c r="C2219" i="7"/>
  <c r="F2219" i="7"/>
  <c r="E2219" i="7" s="1"/>
  <c r="F2085" i="7"/>
  <c r="E2085" i="7" s="1"/>
  <c r="C2085" i="7"/>
  <c r="F1493" i="7"/>
  <c r="E1493" i="7" s="1"/>
  <c r="C1493" i="7"/>
  <c r="F2285" i="7"/>
  <c r="E2285" i="7" s="1"/>
  <c r="C2285" i="7"/>
  <c r="C1689" i="7"/>
  <c r="F1689" i="7"/>
  <c r="E1689" i="7" s="1"/>
  <c r="C1854" i="7"/>
  <c r="F1854" i="7"/>
  <c r="E1854" i="7" s="1"/>
  <c r="C2054" i="7"/>
  <c r="F2054" i="7"/>
  <c r="E2054" i="7" s="1"/>
  <c r="C2351" i="7"/>
  <c r="F2351" i="7"/>
  <c r="E2351" i="7" s="1"/>
  <c r="U2534" i="7"/>
  <c r="S2534" i="7" s="1"/>
  <c r="Q2523" i="7"/>
  <c r="Q2534" i="7" s="1"/>
  <c r="C1295" i="7"/>
  <c r="E1295" i="7"/>
  <c r="C1524" i="7"/>
  <c r="F1524" i="7"/>
  <c r="E1524" i="7" s="1"/>
  <c r="F1788" i="7"/>
  <c r="C1788" i="7"/>
  <c r="E1788" i="7"/>
  <c r="T1103" i="7"/>
  <c r="D1097" i="7"/>
  <c r="C1625" i="7"/>
  <c r="F1625" i="7"/>
  <c r="E1625" i="7" s="1"/>
  <c r="C1823" i="7"/>
  <c r="F1823" i="7"/>
  <c r="E1823" i="7" s="1"/>
  <c r="F1953" i="7"/>
  <c r="E1953" i="7"/>
  <c r="C1953" i="7"/>
  <c r="T1136" i="7"/>
  <c r="D1130" i="7"/>
  <c r="T1137" i="7" s="1"/>
  <c r="C2087" i="7"/>
  <c r="F2087" i="7"/>
  <c r="E2087" i="7" s="1"/>
  <c r="C1491" i="7"/>
  <c r="F1491" i="7"/>
  <c r="E1491" i="7" s="1"/>
  <c r="F2283" i="7"/>
  <c r="E2283" i="7" s="1"/>
  <c r="C2283" i="7"/>
  <c r="C2186" i="7" l="1"/>
  <c r="F2186" i="7"/>
  <c r="E2186" i="7" s="1"/>
  <c r="C2184" i="7"/>
  <c r="F2184" i="7"/>
  <c r="E2184" i="7" s="1"/>
  <c r="T2534" i="7"/>
  <c r="P2538" i="7"/>
  <c r="S287" i="1" l="1"/>
  <c r="T287" i="1" s="1"/>
  <c r="J287" i="1"/>
  <c r="I287" i="1"/>
  <c r="D287" i="1"/>
  <c r="E287" i="1" s="1"/>
  <c r="S285" i="1"/>
  <c r="T285" i="1" s="1"/>
  <c r="J285" i="1"/>
  <c r="I285" i="1"/>
  <c r="D285" i="1"/>
  <c r="E285" i="1" s="1"/>
  <c r="S284" i="1"/>
  <c r="T284" i="1" s="1"/>
  <c r="J284" i="1"/>
  <c r="I284" i="1"/>
  <c r="D284" i="1"/>
  <c r="E284" i="1" s="1"/>
  <c r="S283" i="1"/>
  <c r="T283" i="1" s="1"/>
  <c r="J283" i="1"/>
  <c r="I283" i="1"/>
  <c r="D283" i="1"/>
  <c r="E283" i="1" s="1"/>
  <c r="S282" i="1"/>
  <c r="T282" i="1" s="1"/>
  <c r="J282" i="1"/>
  <c r="I282" i="1"/>
  <c r="D282" i="1"/>
  <c r="E282" i="1" s="1"/>
  <c r="S281" i="1"/>
  <c r="T281" i="1" s="1"/>
  <c r="J281" i="1"/>
  <c r="I281" i="1"/>
  <c r="D281" i="1"/>
  <c r="E281" i="1" s="1"/>
  <c r="S280" i="1"/>
  <c r="T280" i="1" s="1"/>
  <c r="J280" i="1"/>
  <c r="I280" i="1"/>
  <c r="D280" i="1"/>
  <c r="E280" i="1" s="1"/>
  <c r="S279" i="1"/>
  <c r="T279" i="1" s="1"/>
  <c r="J279" i="1"/>
  <c r="I279" i="1"/>
  <c r="D279" i="1"/>
  <c r="E279" i="1" s="1"/>
  <c r="S278" i="1"/>
  <c r="T278" i="1" s="1"/>
  <c r="J278" i="1"/>
  <c r="I278" i="1"/>
  <c r="D278" i="1"/>
  <c r="E278" i="1" s="1"/>
  <c r="S277" i="1"/>
  <c r="T277" i="1" s="1"/>
  <c r="J277" i="1"/>
  <c r="I277" i="1"/>
  <c r="D277" i="1"/>
  <c r="E277" i="1" s="1"/>
  <c r="S276" i="1"/>
  <c r="T276" i="1" s="1"/>
  <c r="J276" i="1"/>
  <c r="I276" i="1"/>
  <c r="D276" i="1"/>
  <c r="E276" i="1" s="1"/>
  <c r="S275" i="1"/>
  <c r="T275" i="1" s="1"/>
  <c r="J275" i="1"/>
  <c r="I275" i="1"/>
  <c r="D275" i="1"/>
  <c r="E275" i="1" s="1"/>
  <c r="S274" i="1"/>
  <c r="T274" i="1" s="1"/>
  <c r="J274" i="1"/>
  <c r="I274" i="1"/>
  <c r="D274" i="1"/>
  <c r="E274" i="1" s="1"/>
  <c r="S273" i="1"/>
  <c r="S289" i="1" s="1"/>
  <c r="J273" i="1"/>
  <c r="I273" i="1"/>
  <c r="D273" i="1"/>
  <c r="E273" i="1" s="1"/>
  <c r="T254" i="1"/>
  <c r="S254" i="1"/>
  <c r="J254" i="1"/>
  <c r="I254" i="1"/>
  <c r="E254" i="1"/>
  <c r="D254" i="1"/>
  <c r="S252" i="1"/>
  <c r="T252" i="1" s="1"/>
  <c r="J252" i="1"/>
  <c r="I252" i="1"/>
  <c r="D252" i="1"/>
  <c r="E252" i="1" s="1"/>
  <c r="T251" i="1"/>
  <c r="S251" i="1"/>
  <c r="J251" i="1"/>
  <c r="I251" i="1"/>
  <c r="E251" i="1"/>
  <c r="D251" i="1"/>
  <c r="S250" i="1"/>
  <c r="T250" i="1" s="1"/>
  <c r="J250" i="1"/>
  <c r="I250" i="1"/>
  <c r="D250" i="1"/>
  <c r="E250" i="1" s="1"/>
  <c r="T249" i="1"/>
  <c r="S249" i="1"/>
  <c r="J249" i="1"/>
  <c r="I249" i="1"/>
  <c r="E249" i="1"/>
  <c r="D249" i="1"/>
  <c r="S248" i="1"/>
  <c r="T248" i="1" s="1"/>
  <c r="J248" i="1"/>
  <c r="I248" i="1"/>
  <c r="D248" i="1"/>
  <c r="E248" i="1" s="1"/>
  <c r="T247" i="1"/>
  <c r="S247" i="1"/>
  <c r="J247" i="1"/>
  <c r="I247" i="1"/>
  <c r="E247" i="1"/>
  <c r="D247" i="1"/>
  <c r="S246" i="1"/>
  <c r="T246" i="1" s="1"/>
  <c r="J246" i="1"/>
  <c r="I246" i="1"/>
  <c r="D246" i="1"/>
  <c r="E246" i="1" s="1"/>
  <c r="T245" i="1"/>
  <c r="S245" i="1"/>
  <c r="J245" i="1"/>
  <c r="I245" i="1"/>
  <c r="E245" i="1"/>
  <c r="D245" i="1"/>
  <c r="S244" i="1"/>
  <c r="T244" i="1" s="1"/>
  <c r="J244" i="1"/>
  <c r="I244" i="1"/>
  <c r="D244" i="1"/>
  <c r="E244" i="1" s="1"/>
  <c r="T243" i="1"/>
  <c r="S243" i="1"/>
  <c r="J243" i="1"/>
  <c r="I243" i="1"/>
  <c r="E243" i="1"/>
  <c r="D243" i="1"/>
  <c r="S242" i="1"/>
  <c r="T242" i="1" s="1"/>
  <c r="J242" i="1"/>
  <c r="I242" i="1"/>
  <c r="D242" i="1"/>
  <c r="E242" i="1" s="1"/>
  <c r="T241" i="1"/>
  <c r="S241" i="1"/>
  <c r="J241" i="1"/>
  <c r="I241" i="1"/>
  <c r="E241" i="1"/>
  <c r="D241" i="1"/>
  <c r="S240" i="1"/>
  <c r="S256" i="1" s="1"/>
  <c r="J240" i="1"/>
  <c r="I240" i="1"/>
  <c r="D240" i="1"/>
  <c r="E240" i="1" s="1"/>
  <c r="S221" i="1"/>
  <c r="T221" i="1" s="1"/>
  <c r="J221" i="1"/>
  <c r="G221" i="1"/>
  <c r="D221" i="1"/>
  <c r="E221" i="1" s="1"/>
  <c r="S219" i="1"/>
  <c r="T219" i="1" s="1"/>
  <c r="J219" i="1"/>
  <c r="G219" i="1"/>
  <c r="D219" i="1"/>
  <c r="E219" i="1" s="1"/>
  <c r="S218" i="1"/>
  <c r="T218" i="1" s="1"/>
  <c r="J218" i="1"/>
  <c r="G218" i="1"/>
  <c r="D218" i="1"/>
  <c r="E218" i="1" s="1"/>
  <c r="S217" i="1"/>
  <c r="T217" i="1" s="1"/>
  <c r="J217" i="1"/>
  <c r="G217" i="1"/>
  <c r="D217" i="1"/>
  <c r="E217" i="1" s="1"/>
  <c r="S216" i="1"/>
  <c r="T216" i="1" s="1"/>
  <c r="J216" i="1"/>
  <c r="G216" i="1"/>
  <c r="D216" i="1"/>
  <c r="E216" i="1" s="1"/>
  <c r="S215" i="1"/>
  <c r="T215" i="1" s="1"/>
  <c r="J215" i="1"/>
  <c r="G215" i="1"/>
  <c r="D215" i="1"/>
  <c r="E215" i="1" s="1"/>
  <c r="S214" i="1"/>
  <c r="T214" i="1" s="1"/>
  <c r="J214" i="1"/>
  <c r="G214" i="1"/>
  <c r="D214" i="1"/>
  <c r="E214" i="1" s="1"/>
  <c r="S213" i="1"/>
  <c r="T213" i="1" s="1"/>
  <c r="J213" i="1"/>
  <c r="G213" i="1"/>
  <c r="D213" i="1"/>
  <c r="E213" i="1" s="1"/>
  <c r="S212" i="1"/>
  <c r="T212" i="1" s="1"/>
  <c r="J212" i="1"/>
  <c r="G212" i="1"/>
  <c r="D212" i="1"/>
  <c r="E212" i="1" s="1"/>
  <c r="S211" i="1"/>
  <c r="T211" i="1" s="1"/>
  <c r="J211" i="1"/>
  <c r="G211" i="1"/>
  <c r="D211" i="1"/>
  <c r="E211" i="1" s="1"/>
  <c r="S210" i="1"/>
  <c r="T210" i="1" s="1"/>
  <c r="J210" i="1"/>
  <c r="G210" i="1"/>
  <c r="D210" i="1"/>
  <c r="E210" i="1" s="1"/>
  <c r="S209" i="1"/>
  <c r="T209" i="1" s="1"/>
  <c r="J209" i="1"/>
  <c r="G209" i="1"/>
  <c r="D209" i="1"/>
  <c r="E209" i="1" s="1"/>
  <c r="S208" i="1"/>
  <c r="T208" i="1" s="1"/>
  <c r="J208" i="1"/>
  <c r="G208" i="1"/>
  <c r="D208" i="1"/>
  <c r="E208" i="1" s="1"/>
  <c r="S207" i="1"/>
  <c r="T207" i="1" s="1"/>
  <c r="J207" i="1"/>
  <c r="G207" i="1"/>
  <c r="D207" i="1"/>
  <c r="E207" i="1" s="1"/>
  <c r="T188" i="1"/>
  <c r="S188" i="1"/>
  <c r="J188" i="1"/>
  <c r="E188" i="1"/>
  <c r="D188" i="1" s="1"/>
  <c r="T186" i="1"/>
  <c r="S186" i="1"/>
  <c r="J186" i="1"/>
  <c r="E186" i="1"/>
  <c r="F186" i="1" s="1"/>
  <c r="T185" i="1"/>
  <c r="S185" i="1"/>
  <c r="J185" i="1"/>
  <c r="E185" i="1"/>
  <c r="D185" i="1" s="1"/>
  <c r="T184" i="1"/>
  <c r="S184" i="1"/>
  <c r="J184" i="1"/>
  <c r="E184" i="1"/>
  <c r="F184" i="1" s="1"/>
  <c r="T183" i="1"/>
  <c r="S183" i="1"/>
  <c r="J183" i="1"/>
  <c r="E183" i="1"/>
  <c r="D183" i="1" s="1"/>
  <c r="T182" i="1"/>
  <c r="S182" i="1"/>
  <c r="J182" i="1"/>
  <c r="E182" i="1"/>
  <c r="F182" i="1" s="1"/>
  <c r="T181" i="1"/>
  <c r="S181" i="1"/>
  <c r="J181" i="1"/>
  <c r="E181" i="1"/>
  <c r="D181" i="1" s="1"/>
  <c r="T180" i="1"/>
  <c r="S180" i="1"/>
  <c r="J180" i="1"/>
  <c r="E180" i="1"/>
  <c r="F180" i="1" s="1"/>
  <c r="T179" i="1"/>
  <c r="S179" i="1"/>
  <c r="J179" i="1"/>
  <c r="E179" i="1"/>
  <c r="D179" i="1" s="1"/>
  <c r="T178" i="1"/>
  <c r="S178" i="1"/>
  <c r="J178" i="1"/>
  <c r="E178" i="1"/>
  <c r="F178" i="1" s="1"/>
  <c r="T177" i="1"/>
  <c r="S177" i="1"/>
  <c r="J177" i="1"/>
  <c r="E177" i="1"/>
  <c r="D177" i="1" s="1"/>
  <c r="T176" i="1"/>
  <c r="S176" i="1"/>
  <c r="J176" i="1"/>
  <c r="E176" i="1"/>
  <c r="F176" i="1" s="1"/>
  <c r="T175" i="1"/>
  <c r="S175" i="1"/>
  <c r="J175" i="1"/>
  <c r="E175" i="1"/>
  <c r="D175" i="1" s="1"/>
  <c r="T174" i="1"/>
  <c r="S174" i="1"/>
  <c r="S190" i="1" s="1"/>
  <c r="J174" i="1"/>
  <c r="E174" i="1"/>
  <c r="F174" i="1" s="1"/>
  <c r="S154" i="1"/>
  <c r="T154" i="1" s="1"/>
  <c r="J154" i="1"/>
  <c r="E154" i="1"/>
  <c r="F154" i="1" s="1"/>
  <c r="D154" i="1"/>
  <c r="S152" i="1"/>
  <c r="T152" i="1" s="1"/>
  <c r="J152" i="1"/>
  <c r="E152" i="1"/>
  <c r="D152" i="1" s="1"/>
  <c r="S151" i="1"/>
  <c r="T151" i="1" s="1"/>
  <c r="J151" i="1"/>
  <c r="E151" i="1"/>
  <c r="F151" i="1" s="1"/>
  <c r="D151" i="1"/>
  <c r="S150" i="1"/>
  <c r="T150" i="1" s="1"/>
  <c r="J150" i="1"/>
  <c r="E150" i="1"/>
  <c r="F150" i="1" s="1"/>
  <c r="S149" i="1"/>
  <c r="T149" i="1" s="1"/>
  <c r="J149" i="1"/>
  <c r="E149" i="1"/>
  <c r="F149" i="1" s="1"/>
  <c r="D149" i="1"/>
  <c r="S148" i="1"/>
  <c r="T148" i="1" s="1"/>
  <c r="J148" i="1"/>
  <c r="E148" i="1"/>
  <c r="D148" i="1" s="1"/>
  <c r="S147" i="1"/>
  <c r="T147" i="1" s="1"/>
  <c r="J147" i="1"/>
  <c r="E147" i="1"/>
  <c r="F147" i="1" s="1"/>
  <c r="D147" i="1"/>
  <c r="S146" i="1"/>
  <c r="T146" i="1" s="1"/>
  <c r="J146" i="1"/>
  <c r="E146" i="1"/>
  <c r="F146" i="1" s="1"/>
  <c r="S145" i="1"/>
  <c r="T145" i="1" s="1"/>
  <c r="J145" i="1"/>
  <c r="E145" i="1"/>
  <c r="F145" i="1" s="1"/>
  <c r="D145" i="1"/>
  <c r="S144" i="1"/>
  <c r="T144" i="1" s="1"/>
  <c r="J144" i="1"/>
  <c r="E144" i="1"/>
  <c r="D144" i="1" s="1"/>
  <c r="S143" i="1"/>
  <c r="T143" i="1" s="1"/>
  <c r="J143" i="1"/>
  <c r="E143" i="1"/>
  <c r="F143" i="1" s="1"/>
  <c r="D143" i="1"/>
  <c r="S142" i="1"/>
  <c r="T142" i="1" s="1"/>
  <c r="J142" i="1"/>
  <c r="E142" i="1"/>
  <c r="F142" i="1" s="1"/>
  <c r="S141" i="1"/>
  <c r="J141" i="1"/>
  <c r="E141" i="1"/>
  <c r="F141" i="1" s="1"/>
  <c r="D141" i="1"/>
  <c r="T121" i="1"/>
  <c r="S121" i="1"/>
  <c r="J121" i="1"/>
  <c r="E121" i="1"/>
  <c r="T119" i="1"/>
  <c r="S119" i="1"/>
  <c r="J119" i="1"/>
  <c r="E119" i="1"/>
  <c r="T118" i="1"/>
  <c r="S118" i="1"/>
  <c r="J118" i="1"/>
  <c r="E118" i="1"/>
  <c r="T117" i="1"/>
  <c r="S117" i="1"/>
  <c r="J117" i="1"/>
  <c r="E117" i="1"/>
  <c r="T116" i="1"/>
  <c r="S116" i="1"/>
  <c r="J116" i="1"/>
  <c r="E116" i="1"/>
  <c r="T115" i="1"/>
  <c r="S115" i="1"/>
  <c r="J115" i="1"/>
  <c r="E115" i="1"/>
  <c r="T114" i="1"/>
  <c r="S114" i="1"/>
  <c r="J114" i="1"/>
  <c r="E114" i="1"/>
  <c r="T113" i="1"/>
  <c r="S113" i="1"/>
  <c r="J113" i="1"/>
  <c r="E113" i="1"/>
  <c r="T112" i="1"/>
  <c r="S112" i="1"/>
  <c r="J112" i="1"/>
  <c r="E112" i="1"/>
  <c r="T111" i="1"/>
  <c r="S111" i="1"/>
  <c r="J111" i="1"/>
  <c r="E111" i="1"/>
  <c r="T110" i="1"/>
  <c r="S110" i="1"/>
  <c r="J110" i="1"/>
  <c r="E110" i="1"/>
  <c r="T109" i="1"/>
  <c r="S109" i="1"/>
  <c r="J109" i="1"/>
  <c r="E109" i="1"/>
  <c r="T108" i="1"/>
  <c r="S108" i="1"/>
  <c r="S123" i="1" s="1"/>
  <c r="J108" i="1"/>
  <c r="E108" i="1"/>
  <c r="S90" i="1"/>
  <c r="T90" i="1" s="1"/>
  <c r="S88" i="1"/>
  <c r="T88" i="1" s="1"/>
  <c r="J88" i="1"/>
  <c r="E88" i="1"/>
  <c r="D88" i="1" s="1"/>
  <c r="S87" i="1"/>
  <c r="T87" i="1" s="1"/>
  <c r="S86" i="1"/>
  <c r="T86" i="1" s="1"/>
  <c r="J86" i="1"/>
  <c r="E86" i="1"/>
  <c r="F86" i="1" s="1"/>
  <c r="D86" i="1"/>
  <c r="S85" i="1"/>
  <c r="T85" i="1" s="1"/>
  <c r="J85" i="1"/>
  <c r="E85" i="1"/>
  <c r="F85" i="1" s="1"/>
  <c r="D85" i="1"/>
  <c r="S84" i="1"/>
  <c r="T84" i="1" s="1"/>
  <c r="J84" i="1"/>
  <c r="E84" i="1"/>
  <c r="D84" i="1" s="1"/>
  <c r="S83" i="1"/>
  <c r="T83" i="1" s="1"/>
  <c r="J83" i="1"/>
  <c r="F83" i="1"/>
  <c r="E83" i="1"/>
  <c r="D83" i="1" s="1"/>
  <c r="S82" i="1"/>
  <c r="T82" i="1" s="1"/>
  <c r="J82" i="1"/>
  <c r="F82" i="1"/>
  <c r="E82" i="1"/>
  <c r="D82" i="1"/>
  <c r="S81" i="1"/>
  <c r="T81" i="1" s="1"/>
  <c r="J81" i="1"/>
  <c r="E81" i="1"/>
  <c r="F81" i="1" s="1"/>
  <c r="D81" i="1"/>
  <c r="S80" i="1"/>
  <c r="T80" i="1" s="1"/>
  <c r="J80" i="1"/>
  <c r="E80" i="1"/>
  <c r="D80" i="1" s="1"/>
  <c r="S79" i="1"/>
  <c r="T79" i="1" s="1"/>
  <c r="J79" i="1"/>
  <c r="F79" i="1"/>
  <c r="E79" i="1"/>
  <c r="D79" i="1" s="1"/>
  <c r="S78" i="1"/>
  <c r="T78" i="1" s="1"/>
  <c r="J78" i="1"/>
  <c r="F78" i="1"/>
  <c r="E78" i="1"/>
  <c r="D78" i="1"/>
  <c r="S77" i="1"/>
  <c r="T77" i="1" s="1"/>
  <c r="J77" i="1"/>
  <c r="E77" i="1"/>
  <c r="F77" i="1" s="1"/>
  <c r="D77" i="1"/>
  <c r="S76" i="1"/>
  <c r="T76" i="1" s="1"/>
  <c r="J76" i="1"/>
  <c r="E76" i="1"/>
  <c r="D76" i="1" s="1"/>
  <c r="S75" i="1"/>
  <c r="T75" i="1" s="1"/>
  <c r="J75" i="1"/>
  <c r="F75" i="1"/>
  <c r="E75" i="1"/>
  <c r="D75" i="1" s="1"/>
  <c r="S57" i="1"/>
  <c r="T57" i="1" s="1"/>
  <c r="T55" i="1"/>
  <c r="S55" i="1"/>
  <c r="J55" i="1"/>
  <c r="E55" i="1"/>
  <c r="T54" i="1"/>
  <c r="S54" i="1"/>
  <c r="S53" i="1"/>
  <c r="T53" i="1" s="1"/>
  <c r="J53" i="1"/>
  <c r="E53" i="1"/>
  <c r="S52" i="1"/>
  <c r="T52" i="1" s="1"/>
  <c r="J52" i="1"/>
  <c r="E52" i="1"/>
  <c r="S51" i="1"/>
  <c r="T51" i="1" s="1"/>
  <c r="J51" i="1"/>
  <c r="E51" i="1"/>
  <c r="S50" i="1"/>
  <c r="T50" i="1" s="1"/>
  <c r="J50" i="1"/>
  <c r="E50" i="1"/>
  <c r="S49" i="1"/>
  <c r="T49" i="1" s="1"/>
  <c r="J49" i="1"/>
  <c r="E49" i="1"/>
  <c r="S48" i="1"/>
  <c r="T48" i="1" s="1"/>
  <c r="J48" i="1"/>
  <c r="E48" i="1"/>
  <c r="S47" i="1"/>
  <c r="T47" i="1" s="1"/>
  <c r="J47" i="1"/>
  <c r="E47" i="1"/>
  <c r="S46" i="1"/>
  <c r="T46" i="1" s="1"/>
  <c r="J46" i="1"/>
  <c r="E46" i="1"/>
  <c r="S45" i="1"/>
  <c r="T45" i="1" s="1"/>
  <c r="J45" i="1"/>
  <c r="E45" i="1"/>
  <c r="S44" i="1"/>
  <c r="T44" i="1" s="1"/>
  <c r="J44" i="1"/>
  <c r="E44" i="1"/>
  <c r="S43" i="1"/>
  <c r="T43" i="1" s="1"/>
  <c r="J43" i="1"/>
  <c r="E43" i="1"/>
  <c r="S42" i="1"/>
  <c r="S59" i="1" s="1"/>
  <c r="J42" i="1"/>
  <c r="E42" i="1"/>
  <c r="F42" i="1" s="1"/>
  <c r="S22" i="1"/>
  <c r="T22" i="1" s="1"/>
  <c r="J22" i="1"/>
  <c r="E22" i="1"/>
  <c r="F22" i="1" s="1"/>
  <c r="S20" i="1"/>
  <c r="T20" i="1" s="1"/>
  <c r="J20" i="1"/>
  <c r="E20" i="1"/>
  <c r="D20" i="1" s="1"/>
  <c r="S19" i="1"/>
  <c r="T19" i="1" s="1"/>
  <c r="J19" i="1"/>
  <c r="E19" i="1"/>
  <c r="D19" i="1" s="1"/>
  <c r="S18" i="1"/>
  <c r="T18" i="1" s="1"/>
  <c r="J18" i="1"/>
  <c r="E18" i="1"/>
  <c r="D18" i="1" s="1"/>
  <c r="S17" i="1"/>
  <c r="T17" i="1" s="1"/>
  <c r="J17" i="1"/>
  <c r="E17" i="1"/>
  <c r="D17" i="1" s="1"/>
  <c r="S16" i="1"/>
  <c r="T16" i="1" s="1"/>
  <c r="J16" i="1"/>
  <c r="E16" i="1"/>
  <c r="D16" i="1" s="1"/>
  <c r="S15" i="1"/>
  <c r="T15" i="1" s="1"/>
  <c r="J15" i="1"/>
  <c r="E15" i="1"/>
  <c r="D15" i="1" s="1"/>
  <c r="S14" i="1"/>
  <c r="T14" i="1" s="1"/>
  <c r="J14" i="1"/>
  <c r="E14" i="1"/>
  <c r="D14" i="1" s="1"/>
  <c r="S13" i="1"/>
  <c r="T13" i="1" s="1"/>
  <c r="J13" i="1"/>
  <c r="E13" i="1"/>
  <c r="F13" i="1" s="1"/>
  <c r="S12" i="1"/>
  <c r="T12" i="1" s="1"/>
  <c r="J12" i="1"/>
  <c r="E12" i="1"/>
  <c r="D12" i="1" s="1"/>
  <c r="S11" i="1"/>
  <c r="T11" i="1" s="1"/>
  <c r="J11" i="1"/>
  <c r="E11" i="1"/>
  <c r="D11" i="1" s="1"/>
  <c r="S10" i="1"/>
  <c r="T10" i="1" s="1"/>
  <c r="J10" i="1"/>
  <c r="E10" i="1"/>
  <c r="D10" i="1" s="1"/>
  <c r="S9" i="1"/>
  <c r="J9" i="1"/>
  <c r="E9" i="1"/>
  <c r="F9" i="1" s="1"/>
  <c r="F15" i="1" l="1"/>
  <c r="F19" i="1"/>
  <c r="F88" i="1"/>
  <c r="T42" i="1"/>
  <c r="T240" i="1"/>
  <c r="F11" i="1"/>
  <c r="S24" i="1"/>
  <c r="D9" i="1"/>
  <c r="D142" i="1"/>
  <c r="F144" i="1"/>
  <c r="D146" i="1"/>
  <c r="F148" i="1"/>
  <c r="D150" i="1"/>
  <c r="F152" i="1"/>
  <c r="F80" i="1"/>
  <c r="F84" i="1"/>
  <c r="F76" i="1"/>
  <c r="D22" i="1"/>
  <c r="D13" i="1"/>
  <c r="F17" i="1"/>
  <c r="D45" i="1"/>
  <c r="F45" i="1"/>
  <c r="F48" i="1"/>
  <c r="D48" i="1"/>
  <c r="D51" i="1"/>
  <c r="F51" i="1"/>
  <c r="F14" i="1"/>
  <c r="F18" i="1"/>
  <c r="F20" i="1"/>
  <c r="D47" i="1"/>
  <c r="F47" i="1"/>
  <c r="F52" i="1"/>
  <c r="D52" i="1"/>
  <c r="F16" i="1"/>
  <c r="T9" i="1"/>
  <c r="D55" i="1"/>
  <c r="F55" i="1"/>
  <c r="D43" i="1"/>
  <c r="F43" i="1"/>
  <c r="F46" i="1"/>
  <c r="D46" i="1"/>
  <c r="D49" i="1"/>
  <c r="F49" i="1"/>
  <c r="D53" i="1"/>
  <c r="F53" i="1"/>
  <c r="F10" i="1"/>
  <c r="F12" i="1"/>
  <c r="D42" i="1"/>
  <c r="S92" i="1"/>
  <c r="F44" i="1"/>
  <c r="D44" i="1"/>
  <c r="F50" i="1"/>
  <c r="D50" i="1"/>
  <c r="D108" i="1"/>
  <c r="F108" i="1"/>
  <c r="F109" i="1"/>
  <c r="D109" i="1"/>
  <c r="D110" i="1"/>
  <c r="F110" i="1"/>
  <c r="F111" i="1"/>
  <c r="D111" i="1"/>
  <c r="D112" i="1"/>
  <c r="F112" i="1"/>
  <c r="F113" i="1"/>
  <c r="D113" i="1"/>
  <c r="D114" i="1"/>
  <c r="F114" i="1"/>
  <c r="F115" i="1"/>
  <c r="D115" i="1"/>
  <c r="D116" i="1"/>
  <c r="F116" i="1"/>
  <c r="F117" i="1"/>
  <c r="D117" i="1"/>
  <c r="D118" i="1"/>
  <c r="F118" i="1"/>
  <c r="F119" i="1"/>
  <c r="D119" i="1"/>
  <c r="D121" i="1"/>
  <c r="F121" i="1"/>
  <c r="S156" i="1"/>
  <c r="T141" i="1"/>
  <c r="D174" i="1"/>
  <c r="F175" i="1"/>
  <c r="D176" i="1"/>
  <c r="F177" i="1"/>
  <c r="D178" i="1"/>
  <c r="F179" i="1"/>
  <c r="D180" i="1"/>
  <c r="F181" i="1"/>
  <c r="D182" i="1"/>
  <c r="F183" i="1"/>
  <c r="D184" i="1"/>
  <c r="F185" i="1"/>
  <c r="D186" i="1"/>
  <c r="F188" i="1"/>
  <c r="T273" i="1"/>
  <c r="S223" i="1"/>
</calcChain>
</file>

<file path=xl/comments1.xml><?xml version="1.0" encoding="utf-8"?>
<comments xmlns="http://schemas.openxmlformats.org/spreadsheetml/2006/main">
  <authors>
    <author>Author</author>
  </authors>
  <commentList>
    <comment ref="T2906" authorId="0">
      <text>
        <r>
          <rPr>
            <b/>
            <sz val="9"/>
            <color indexed="81"/>
            <rFont val="Tahoma"/>
            <family val="2"/>
          </rPr>
          <t>=34.00+(50.70-39.80)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<sst xmlns="http://schemas.openxmlformats.org/spreadsheetml/2006/main" count="2363" uniqueCount="139">
  <si>
    <t>SL</t>
  </si>
  <si>
    <t>SELL</t>
  </si>
  <si>
    <t>BUY</t>
  </si>
  <si>
    <t>AUGUST -20 RESULT</t>
  </si>
  <si>
    <t>RESULT</t>
  </si>
  <si>
    <t>"9/12"</t>
  </si>
  <si>
    <t>COALINDIA</t>
  </si>
  <si>
    <t>DLF</t>
  </si>
  <si>
    <t>HDFC</t>
  </si>
  <si>
    <t>HDFCBANK</t>
  </si>
  <si>
    <t>ICICIBANK</t>
  </si>
  <si>
    <t>INFY</t>
  </si>
  <si>
    <t>ITC</t>
  </si>
  <si>
    <t>MARUTI</t>
  </si>
  <si>
    <t>RELIANCE</t>
  </si>
  <si>
    <t>SBIN</t>
  </si>
  <si>
    <t>SUNPHARMA</t>
  </si>
  <si>
    <t>ZEEL</t>
  </si>
  <si>
    <t>NIFTY</t>
  </si>
  <si>
    <t>NET AMOUNT</t>
  </si>
  <si>
    <t>SEPTEMBER-20 RESULT</t>
  </si>
  <si>
    <t>"8/13"</t>
  </si>
  <si>
    <t>OCTOBER -20 RESULT</t>
  </si>
  <si>
    <t>10/15</t>
  </si>
  <si>
    <t>NOVEMBER -20 RESULT</t>
  </si>
  <si>
    <t>8/13</t>
  </si>
  <si>
    <t>DECEMBER -20 RESULT</t>
  </si>
  <si>
    <t>11/13</t>
  </si>
  <si>
    <t>"AUGUST 2020"</t>
  </si>
  <si>
    <t>ULT TRG</t>
  </si>
  <si>
    <t>TRGT1</t>
  </si>
  <si>
    <t>SELL SIGNAL</t>
  </si>
  <si>
    <t>PIVOT</t>
  </si>
  <si>
    <t>AVG BUY</t>
  </si>
  <si>
    <t>BUY SIGNAL</t>
  </si>
  <si>
    <t>"SEPTEMBER 2020"</t>
  </si>
  <si>
    <t>"OCTOBER - 2020"</t>
  </si>
  <si>
    <t>SELL @</t>
  </si>
  <si>
    <t>NOVEMBER - 2020"</t>
  </si>
  <si>
    <t>DECEMBER - 2020"</t>
  </si>
  <si>
    <t>JANUARY - 2021"</t>
  </si>
  <si>
    <t>HINDUNILVR</t>
  </si>
  <si>
    <t>TATASTEEL</t>
  </si>
  <si>
    <t>TITAN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</si>
  <si>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</si>
  <si>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</si>
  <si>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</si>
  <si>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</si>
  <si>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</si>
  <si>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</si>
  <si>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</si>
  <si>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</si>
  <si>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JANUARY -21 RESULT</t>
  </si>
  <si>
    <t>06/14</t>
  </si>
  <si>
    <t>FEBRUARY - 2021"</t>
  </si>
  <si>
    <t>FEBRUARY -21 RESULT</t>
  </si>
  <si>
    <t>06/06</t>
  </si>
  <si>
    <t>MARCH - 2021"</t>
  </si>
  <si>
    <t>MARCH -21 RESULT</t>
  </si>
  <si>
    <t>2/14</t>
  </si>
  <si>
    <t>APRIL - 2021"</t>
  </si>
  <si>
    <t>APRIL -21 RESULT</t>
  </si>
  <si>
    <t>05/14</t>
  </si>
  <si>
    <t>TRGT</t>
  </si>
  <si>
    <t>APR 21</t>
  </si>
  <si>
    <t>TOP 13 STOCKS DERIVATIVES</t>
  </si>
  <si>
    <t>NIFTY OPTIONS INTRADAY</t>
  </si>
  <si>
    <t>13920-990</t>
  </si>
  <si>
    <t>TIME</t>
  </si>
  <si>
    <t>CE</t>
  </si>
  <si>
    <t>PE</t>
  </si>
  <si>
    <t>BUY @</t>
  </si>
  <si>
    <t>bigasa 1</t>
  </si>
  <si>
    <t>bigasa</t>
  </si>
  <si>
    <t>13990-050</t>
  </si>
  <si>
    <t>14070-14170</t>
  </si>
  <si>
    <t>14080-14135</t>
  </si>
  <si>
    <t>14190-14260</t>
  </si>
  <si>
    <t>14190-14290</t>
  </si>
  <si>
    <t>14245-14285</t>
  </si>
  <si>
    <t>14450 - 500</t>
  </si>
  <si>
    <t>14600-660</t>
  </si>
  <si>
    <t>14500-600</t>
  </si>
  <si>
    <t>14480-640</t>
  </si>
  <si>
    <t>14365-14425</t>
  </si>
  <si>
    <t>14520-600</t>
  </si>
  <si>
    <t>14710-740</t>
  </si>
  <si>
    <t>14510-620</t>
  </si>
  <si>
    <t>14510-260</t>
  </si>
  <si>
    <t>14110-210</t>
  </si>
  <si>
    <t>13790-900</t>
  </si>
  <si>
    <t>13860-14000</t>
  </si>
  <si>
    <t>13690-800</t>
  </si>
  <si>
    <t>14500-800</t>
  </si>
  <si>
    <t>14611-770</t>
  </si>
  <si>
    <t>14747.30-14822.85</t>
  </si>
  <si>
    <t>TODAY TAKEN WRONG DIRECTION</t>
  </si>
  <si>
    <t>15031 - 113</t>
  </si>
  <si>
    <t>15133 - 188</t>
  </si>
  <si>
    <t>TWO DIRECTIONS</t>
  </si>
  <si>
    <t>15076-15170</t>
  </si>
  <si>
    <t>LONG ONE DIRECTION</t>
  </si>
  <si>
    <t>15361-15430</t>
  </si>
  <si>
    <t>15212-15289</t>
  </si>
  <si>
    <t>15192-15226</t>
  </si>
  <si>
    <t>15017-15098</t>
  </si>
  <si>
    <t>14918-15002</t>
  </si>
  <si>
    <t>14662-14774</t>
  </si>
  <si>
    <t>14714-14786</t>
  </si>
  <si>
    <t>15050-15180</t>
  </si>
  <si>
    <t>14814-14949</t>
  </si>
  <si>
    <t>QTY</t>
  </si>
  <si>
    <t>NET:</t>
  </si>
  <si>
    <t>14658-14791</t>
  </si>
  <si>
    <t>14816-14929</t>
  </si>
  <si>
    <t>15034-15089</t>
  </si>
  <si>
    <t>14992-15124</t>
  </si>
  <si>
    <t>14942-15074</t>
  </si>
  <si>
    <t>14980-15115</t>
  </si>
  <si>
    <t>15056-15148</t>
  </si>
  <si>
    <t>15192-262</t>
  </si>
  <si>
    <t>15311-15375</t>
  </si>
  <si>
    <t>-</t>
  </si>
  <si>
    <t>rev H</t>
  </si>
  <si>
    <t>MAY 21</t>
  </si>
  <si>
    <t xml:space="preserve"> MAY - 2021</t>
  </si>
  <si>
    <t>MAY -21 RESULT</t>
  </si>
  <si>
    <t>rev HIGH</t>
  </si>
  <si>
    <t>PLAN B "Y"</t>
  </si>
  <si>
    <t>DELIVERY base (5 DAYS)</t>
  </si>
  <si>
    <t>PLAN A</t>
  </si>
  <si>
    <t>PLAN B "N"</t>
  </si>
  <si>
    <t>rev high</t>
  </si>
  <si>
    <t>NO</t>
  </si>
  <si>
    <t>TRADE</t>
  </si>
  <si>
    <t>TRGT 1</t>
  </si>
  <si>
    <t>r HIGH</t>
  </si>
  <si>
    <t>INVEST:</t>
  </si>
  <si>
    <t>TOP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</si>
</sst>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2" fontId="1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16" fontId="0" fillId="0" borderId="1" xfId="0" quotePrefix="1" applyNumberFormat="1" applyFont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15" fontId="0" fillId="0" borderId="1" xfId="0" applyNumberFormat="1" applyFont="1" applyBorder="1"/>
    <xf numFmtId="2" fontId="0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/>
    <xf numFmtId="0" fontId="0" fillId="0" borderId="2" xfId="0" applyFont="1" applyBorder="1"/>
    <xf numFmtId="0" fontId="3" fillId="0" borderId="0" xfId="0" applyFont="1"/>
    <xf numFmtId="2" fontId="4" fillId="0" borderId="1" xfId="0" applyNumberFormat="1" applyFont="1" applyBorder="1"/>
    <xf numFmtId="2" fontId="2" fillId="0" borderId="1" xfId="0" applyNumberFormat="1" applyFont="1" applyBorder="1"/>
    <xf numFmtId="1" fontId="0" fillId="0" borderId="1" xfId="0" applyNumberFormat="1" applyFont="1" applyBorder="1"/>
    <xf numFmtId="0" fontId="5" fillId="0" borderId="1" xfId="0" applyFont="1" applyBorder="1"/>
    <xf numFmtId="2" fontId="0" fillId="0" borderId="0" xfId="0" applyNumberFormat="1" applyFont="1"/>
    <xf numFmtId="0" fontId="0" fillId="0" borderId="0" xfId="0" applyFont="1"/>
    <xf numFmtId="2" fontId="0" fillId="0" borderId="1" xfId="0" applyNumberFormat="1" applyFont="1" applyFill="1" applyBorder="1"/>
    <xf numFmtId="2" fontId="2" fillId="0" borderId="1" xfId="0" applyNumberFormat="1" applyFont="1" applyFill="1" applyBorder="1"/>
    <xf numFmtId="2" fontId="2" fillId="3" borderId="1" xfId="0" applyNumberFormat="1" applyFont="1" applyFill="1" applyBorder="1"/>
    <xf numFmtId="0" fontId="0" fillId="0" borderId="0" xfId="0" applyFont="1" applyFill="1"/>
    <xf numFmtId="0" fontId="3" fillId="3" borderId="1" xfId="0" applyFont="1" applyFill="1" applyBorder="1"/>
    <xf numFmtId="2" fontId="3" fillId="0" borderId="1" xfId="0" applyNumberFormat="1" applyFont="1" applyBorder="1"/>
    <xf numFmtId="0" fontId="0" fillId="0" borderId="0" xfId="0" applyAlignment="1"/>
    <xf numFmtId="16" fontId="0" fillId="0" borderId="1" xfId="0" quotePrefix="1" applyNumberFormat="1" applyBorder="1"/>
    <xf numFmtId="0" fontId="0" fillId="0" borderId="1" xfId="0" applyBorder="1"/>
    <xf numFmtId="0" fontId="0" fillId="0" borderId="1" xfId="0" quotePrefix="1" applyBorder="1"/>
    <xf numFmtId="16" fontId="0" fillId="0" borderId="1" xfId="0" quotePrefix="1" applyNumberFormat="1" applyBorder="1" applyAlignment="1">
      <alignment horizontal="center"/>
    </xf>
    <xf numFmtId="0" fontId="0" fillId="3" borderId="1" xfId="0" applyFill="1" applyBorder="1"/>
    <xf numFmtId="2" fontId="0" fillId="0" borderId="1" xfId="0" applyNumberFormat="1" applyBorder="1"/>
    <xf numFmtId="17" fontId="3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/>
    <xf numFmtId="2" fontId="0" fillId="0" borderId="7" xfId="0" applyNumberFormat="1" applyBorder="1"/>
    <xf numFmtId="2" fontId="0" fillId="0" borderId="8" xfId="0" applyNumberFormat="1" applyBorder="1"/>
    <xf numFmtId="0" fontId="7" fillId="0" borderId="1" xfId="0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Border="1"/>
    <xf numFmtId="0" fontId="3" fillId="0" borderId="0" xfId="0" applyFont="1" applyAlignment="1">
      <alignment horizontal="center"/>
    </xf>
    <xf numFmtId="2" fontId="0" fillId="3" borderId="1" xfId="0" applyNumberFormat="1" applyFill="1" applyBorder="1"/>
    <xf numFmtId="2" fontId="0" fillId="2" borderId="1" xfId="0" applyNumberFormat="1" applyFont="1" applyFill="1" applyBorder="1"/>
    <xf numFmtId="2" fontId="3" fillId="3" borderId="1" xfId="0" applyNumberFormat="1" applyFont="1" applyFill="1" applyBorder="1" applyAlignment="1">
      <alignment horizontal="left" vertical="center"/>
    </xf>
    <xf numFmtId="2" fontId="0" fillId="2" borderId="1" xfId="0" applyNumberFormat="1" applyFill="1" applyBorder="1" applyAlignment="1"/>
    <xf numFmtId="20" fontId="0" fillId="3" borderId="1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1" fontId="0" fillId="2" borderId="1" xfId="0" applyNumberFormat="1" applyFont="1" applyFill="1" applyBorder="1"/>
    <xf numFmtId="2" fontId="3" fillId="3" borderId="1" xfId="0" applyNumberFormat="1" applyFont="1" applyFill="1" applyBorder="1" applyAlignment="1">
      <alignment vertical="center"/>
    </xf>
    <xf numFmtId="2" fontId="0" fillId="2" borderId="1" xfId="0" applyNumberFormat="1" applyFill="1" applyBorder="1"/>
    <xf numFmtId="2" fontId="0" fillId="2" borderId="0" xfId="0" applyNumberFormat="1" applyFont="1" applyFill="1" applyBorder="1"/>
    <xf numFmtId="20" fontId="0" fillId="0" borderId="1" xfId="0" applyNumberFormat="1" applyBorder="1"/>
    <xf numFmtId="15" fontId="0" fillId="2" borderId="1" xfId="0" applyNumberFormat="1" applyFill="1" applyBorder="1" applyAlignment="1">
      <alignment vertical="center"/>
    </xf>
    <xf numFmtId="0" fontId="0" fillId="0" borderId="8" xfId="0" applyBorder="1"/>
    <xf numFmtId="20" fontId="0" fillId="0" borderId="1" xfId="0" applyNumberFormat="1" applyFont="1" applyBorder="1"/>
    <xf numFmtId="20" fontId="3" fillId="0" borderId="1" xfId="0" applyNumberFormat="1" applyFont="1" applyBorder="1"/>
    <xf numFmtId="20" fontId="0" fillId="0" borderId="0" xfId="0" applyNumberFormat="1" applyFont="1" applyBorder="1"/>
    <xf numFmtId="2" fontId="3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/>
    <xf numFmtId="2" fontId="0" fillId="2" borderId="0" xfId="0" applyNumberFormat="1" applyFill="1" applyBorder="1"/>
    <xf numFmtId="0" fontId="0" fillId="0" borderId="1" xfId="0" applyFill="1" applyBorder="1"/>
    <xf numFmtId="1" fontId="0" fillId="0" borderId="1" xfId="0" applyNumberFormat="1" applyBorder="1"/>
    <xf numFmtId="2" fontId="0" fillId="0" borderId="0" xfId="0" applyNumberFormat="1" applyFill="1" applyBorder="1"/>
    <xf numFmtId="20" fontId="3" fillId="0" borderId="0" xfId="0" applyNumberFormat="1" applyFont="1" applyBorder="1"/>
    <xf numFmtId="2" fontId="0" fillId="0" borderId="8" xfId="0" applyNumberFormat="1" applyFont="1" applyFill="1" applyBorder="1"/>
    <xf numFmtId="2" fontId="3" fillId="3" borderId="1" xfId="0" applyNumberFormat="1" applyFont="1" applyFill="1" applyBorder="1"/>
    <xf numFmtId="164" fontId="0" fillId="0" borderId="0" xfId="0" applyNumberFormat="1"/>
    <xf numFmtId="1" fontId="0" fillId="3" borderId="1" xfId="0" applyNumberFormat="1" applyFill="1" applyBorder="1"/>
    <xf numFmtId="1" fontId="0" fillId="3" borderId="0" xfId="0" applyNumberFormat="1" applyFill="1" applyBorder="1"/>
    <xf numFmtId="0" fontId="0" fillId="0" borderId="0" xfId="0" applyFont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Fill="1" applyBorder="1"/>
    <xf numFmtId="0" fontId="3" fillId="0" borderId="1" xfId="0" applyFont="1" applyBorder="1"/>
    <xf numFmtId="2" fontId="0" fillId="3" borderId="1" xfId="0" applyNumberFormat="1" applyFont="1" applyFill="1" applyBorder="1" applyAlignment="1">
      <alignment horizontal="left" vertical="center"/>
    </xf>
    <xf numFmtId="2" fontId="0" fillId="3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15" fontId="0" fillId="2" borderId="1" xfId="0" applyNumberFormat="1" applyFont="1" applyFill="1" applyBorder="1" applyAlignment="1">
      <alignment vertical="center"/>
    </xf>
    <xf numFmtId="0" fontId="0" fillId="0" borderId="8" xfId="0" applyFont="1" applyBorder="1"/>
    <xf numFmtId="1" fontId="0" fillId="3" borderId="1" xfId="0" applyNumberFormat="1" applyFont="1" applyFill="1" applyBorder="1"/>
    <xf numFmtId="2" fontId="0" fillId="3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Border="1"/>
    <xf numFmtId="2" fontId="0" fillId="0" borderId="0" xfId="0" applyNumberFormat="1" applyFont="1" applyFill="1" applyBorder="1"/>
    <xf numFmtId="165" fontId="0" fillId="0" borderId="0" xfId="0" applyNumberFormat="1"/>
    <xf numFmtId="2" fontId="0" fillId="0" borderId="0" xfId="0" applyNumberFormat="1" applyFont="1" applyAlignment="1">
      <alignment horizontal="center"/>
    </xf>
    <xf numFmtId="0" fontId="0" fillId="2" borderId="3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/>
    <xf numFmtId="2" fontId="0" fillId="0" borderId="0" xfId="0" applyNumberFormat="1" applyFont="1" applyAlignment="1">
      <alignment horizontal="right"/>
    </xf>
    <xf numFmtId="2" fontId="3" fillId="0" borderId="0" xfId="0" applyNumberFormat="1" applyFont="1" applyFill="1" applyBorder="1"/>
    <xf numFmtId="1" fontId="0" fillId="0" borderId="1" xfId="0" applyNumberFormat="1" applyFont="1" applyFill="1" applyBorder="1"/>
    <xf numFmtId="2" fontId="0" fillId="0" borderId="8" xfId="0" applyNumberFormat="1" applyFont="1" applyBorder="1"/>
    <xf numFmtId="166" fontId="0" fillId="0" borderId="0" xfId="0" applyNumberFormat="1" applyFont="1"/>
    <xf numFmtId="2" fontId="0" fillId="2" borderId="3" xfId="0" applyNumberFormat="1" applyFont="1" applyFill="1" applyBorder="1" applyAlignment="1"/>
    <xf numFmtId="2" fontId="0" fillId="2" borderId="4" xfId="0" applyNumberFormat="1" applyFont="1" applyFill="1" applyBorder="1" applyAlignment="1"/>
    <xf numFmtId="165" fontId="0" fillId="0" borderId="1" xfId="0" applyNumberFormat="1" applyFont="1" applyBorder="1"/>
    <xf numFmtId="1" fontId="0" fillId="0" borderId="0" xfId="0" applyNumberFormat="1"/>
    <xf numFmtId="2" fontId="3" fillId="0" borderId="0" xfId="0" applyNumberFormat="1" applyFont="1"/>
    <xf numFmtId="2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7" fontId="3" fillId="2" borderId="1" xfId="0" quotePrefix="1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1" fillId="0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Fill="1" applyBorder="1"/>
    <xf numFmtId="2" fontId="0" fillId="0" borderId="1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3" fillId="0" borderId="0" xfId="0" applyNumberFormat="1" applyFont="1" applyBorder="1"/>
    <xf numFmtId="165" fontId="0" fillId="0" borderId="0" xfId="0" applyNumberFormat="1" applyFont="1"/>
    <xf numFmtId="15" fontId="0" fillId="0" borderId="10" xfId="0" applyNumberFormat="1" applyFill="1" applyBorder="1"/>
    <xf numFmtId="15" fontId="0" fillId="3" borderId="3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" fontId="0" fillId="0" borderId="3" xfId="0" applyNumberFormat="1" applyFont="1" applyFill="1" applyBorder="1" applyAlignment="1"/>
    <xf numFmtId="2" fontId="0" fillId="0" borderId="1" xfId="0" applyNumberFormat="1" applyFont="1" applyFill="1" applyBorder="1" applyAlignment="1"/>
  </cellXfs>
  <cellStyles count="1">
    <cellStyle name="Normal" xfId="0" builtinId="0"/>
  </cellStyles>
  <dxfs count="2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213782</xdr:colOff>
      <xdr:row>6</xdr:row>
      <xdr:rowOff>10588</xdr:rowOff>
    </xdr:from>
    <xdr:to>
      <xdr:col>8</xdr:col>
      <xdr:colOff>375708</xdr:colOff>
      <xdr:row>7</xdr:row>
      <xdr:rowOff>1063</xdr:rowOff>
    </xdr:to>
    <xdr:sp macro="" textlink="">
      <xdr:nvSpPr>
        <xdr:cNvPr id="2" name="Up Arrow 1"/>
        <xdr:cNvSpPr/>
      </xdr:nvSpPr>
      <xdr:spPr>
        <a:xfrm>
          <a:off x="6073562" y="55922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6</xdr:row>
      <xdr:rowOff>20114</xdr:rowOff>
    </xdr:from>
    <xdr:to>
      <xdr:col>5</xdr:col>
      <xdr:colOff>419097</xdr:colOff>
      <xdr:row>6</xdr:row>
      <xdr:rowOff>182039</xdr:rowOff>
    </xdr:to>
    <xdr:sp macro="" textlink="">
      <xdr:nvSpPr>
        <xdr:cNvPr id="3" name="Down Arrow 2"/>
        <xdr:cNvSpPr/>
      </xdr:nvSpPr>
      <xdr:spPr>
        <a:xfrm>
          <a:off x="4120512" y="56875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39</xdr:row>
      <xdr:rowOff>10588</xdr:rowOff>
    </xdr:from>
    <xdr:to>
      <xdr:col>8</xdr:col>
      <xdr:colOff>375708</xdr:colOff>
      <xdr:row>40</xdr:row>
      <xdr:rowOff>1063</xdr:rowOff>
    </xdr:to>
    <xdr:sp macro="" textlink="">
      <xdr:nvSpPr>
        <xdr:cNvPr id="4" name="Up Arrow 3"/>
        <xdr:cNvSpPr/>
      </xdr:nvSpPr>
      <xdr:spPr>
        <a:xfrm>
          <a:off x="5380142" y="9249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39</xdr:row>
      <xdr:rowOff>20114</xdr:rowOff>
    </xdr:from>
    <xdr:to>
      <xdr:col>5</xdr:col>
      <xdr:colOff>419097</xdr:colOff>
      <xdr:row>39</xdr:row>
      <xdr:rowOff>182039</xdr:rowOff>
    </xdr:to>
    <xdr:sp macro="" textlink="">
      <xdr:nvSpPr>
        <xdr:cNvPr id="5" name="Down Arrow 4"/>
        <xdr:cNvSpPr/>
      </xdr:nvSpPr>
      <xdr:spPr>
        <a:xfrm>
          <a:off x="3343272" y="9345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72</xdr:row>
      <xdr:rowOff>10588</xdr:rowOff>
    </xdr:from>
    <xdr:to>
      <xdr:col>8</xdr:col>
      <xdr:colOff>375708</xdr:colOff>
      <xdr:row>73</xdr:row>
      <xdr:rowOff>1063</xdr:rowOff>
    </xdr:to>
    <xdr:sp macro="" textlink="">
      <xdr:nvSpPr>
        <xdr:cNvPr id="6" name="Up Arrow 5"/>
        <xdr:cNvSpPr/>
      </xdr:nvSpPr>
      <xdr:spPr>
        <a:xfrm>
          <a:off x="5662082" y="9249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72</xdr:row>
      <xdr:rowOff>20114</xdr:rowOff>
    </xdr:from>
    <xdr:to>
      <xdr:col>5</xdr:col>
      <xdr:colOff>419097</xdr:colOff>
      <xdr:row>72</xdr:row>
      <xdr:rowOff>182039</xdr:rowOff>
    </xdr:to>
    <xdr:sp macro="" textlink="">
      <xdr:nvSpPr>
        <xdr:cNvPr id="7" name="Down Arrow 6"/>
        <xdr:cNvSpPr/>
      </xdr:nvSpPr>
      <xdr:spPr>
        <a:xfrm>
          <a:off x="3625212" y="9345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105</xdr:row>
      <xdr:rowOff>10588</xdr:rowOff>
    </xdr:from>
    <xdr:to>
      <xdr:col>8</xdr:col>
      <xdr:colOff>375708</xdr:colOff>
      <xdr:row>106</xdr:row>
      <xdr:rowOff>1063</xdr:rowOff>
    </xdr:to>
    <xdr:sp macro="" textlink="">
      <xdr:nvSpPr>
        <xdr:cNvPr id="8" name="Up Arrow 7"/>
        <xdr:cNvSpPr/>
      </xdr:nvSpPr>
      <xdr:spPr>
        <a:xfrm>
          <a:off x="5662082" y="9249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105</xdr:row>
      <xdr:rowOff>20114</xdr:rowOff>
    </xdr:from>
    <xdr:to>
      <xdr:col>5</xdr:col>
      <xdr:colOff>419097</xdr:colOff>
      <xdr:row>105</xdr:row>
      <xdr:rowOff>182039</xdr:rowOff>
    </xdr:to>
    <xdr:sp macro="" textlink="">
      <xdr:nvSpPr>
        <xdr:cNvPr id="9" name="Down Arrow 8"/>
        <xdr:cNvSpPr/>
      </xdr:nvSpPr>
      <xdr:spPr>
        <a:xfrm>
          <a:off x="3625212" y="9345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138</xdr:row>
      <xdr:rowOff>10588</xdr:rowOff>
    </xdr:from>
    <xdr:to>
      <xdr:col>8</xdr:col>
      <xdr:colOff>375708</xdr:colOff>
      <xdr:row>139</xdr:row>
      <xdr:rowOff>1063</xdr:rowOff>
    </xdr:to>
    <xdr:sp macro="" textlink="">
      <xdr:nvSpPr>
        <xdr:cNvPr id="10" name="Up Arrow 9"/>
        <xdr:cNvSpPr/>
      </xdr:nvSpPr>
      <xdr:spPr>
        <a:xfrm>
          <a:off x="5662082" y="9249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138</xdr:row>
      <xdr:rowOff>20114</xdr:rowOff>
    </xdr:from>
    <xdr:to>
      <xdr:col>5</xdr:col>
      <xdr:colOff>419097</xdr:colOff>
      <xdr:row>138</xdr:row>
      <xdr:rowOff>182039</xdr:rowOff>
    </xdr:to>
    <xdr:sp macro="" textlink="">
      <xdr:nvSpPr>
        <xdr:cNvPr id="11" name="Down Arrow 10"/>
        <xdr:cNvSpPr/>
      </xdr:nvSpPr>
      <xdr:spPr>
        <a:xfrm>
          <a:off x="3625212" y="9345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171</xdr:row>
      <xdr:rowOff>10588</xdr:rowOff>
    </xdr:from>
    <xdr:to>
      <xdr:col>8</xdr:col>
      <xdr:colOff>375708</xdr:colOff>
      <xdr:row>172</xdr:row>
      <xdr:rowOff>1063</xdr:rowOff>
    </xdr:to>
    <xdr:sp macro="" textlink="">
      <xdr:nvSpPr>
        <xdr:cNvPr id="12" name="Up Arrow 11"/>
        <xdr:cNvSpPr/>
      </xdr:nvSpPr>
      <xdr:spPr>
        <a:xfrm>
          <a:off x="5410622" y="9249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171</xdr:row>
      <xdr:rowOff>20114</xdr:rowOff>
    </xdr:from>
    <xdr:to>
      <xdr:col>5</xdr:col>
      <xdr:colOff>419097</xdr:colOff>
      <xdr:row>171</xdr:row>
      <xdr:rowOff>182039</xdr:rowOff>
    </xdr:to>
    <xdr:sp macro="" textlink="">
      <xdr:nvSpPr>
        <xdr:cNvPr id="13" name="Down Arrow 12"/>
        <xdr:cNvSpPr/>
      </xdr:nvSpPr>
      <xdr:spPr>
        <a:xfrm>
          <a:off x="3495672" y="9345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204</xdr:row>
      <xdr:rowOff>10588</xdr:rowOff>
    </xdr:from>
    <xdr:to>
      <xdr:col>8</xdr:col>
      <xdr:colOff>375708</xdr:colOff>
      <xdr:row>205</xdr:row>
      <xdr:rowOff>1063</xdr:rowOff>
    </xdr:to>
    <xdr:sp macro="" textlink="">
      <xdr:nvSpPr>
        <xdr:cNvPr id="14" name="Up Arrow 13"/>
        <xdr:cNvSpPr/>
      </xdr:nvSpPr>
      <xdr:spPr>
        <a:xfrm>
          <a:off x="6492662" y="621897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204</xdr:row>
      <xdr:rowOff>20114</xdr:rowOff>
    </xdr:from>
    <xdr:to>
      <xdr:col>5</xdr:col>
      <xdr:colOff>419097</xdr:colOff>
      <xdr:row>204</xdr:row>
      <xdr:rowOff>182039</xdr:rowOff>
    </xdr:to>
    <xdr:sp macro="" textlink="">
      <xdr:nvSpPr>
        <xdr:cNvPr id="15" name="Down Arrow 14"/>
        <xdr:cNvSpPr/>
      </xdr:nvSpPr>
      <xdr:spPr>
        <a:xfrm>
          <a:off x="3914772" y="621993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237</xdr:row>
      <xdr:rowOff>10588</xdr:rowOff>
    </xdr:from>
    <xdr:to>
      <xdr:col>7</xdr:col>
      <xdr:colOff>375708</xdr:colOff>
      <xdr:row>238</xdr:row>
      <xdr:rowOff>1063</xdr:rowOff>
    </xdr:to>
    <xdr:sp macro="" textlink="">
      <xdr:nvSpPr>
        <xdr:cNvPr id="16" name="Up Arrow 15"/>
        <xdr:cNvSpPr/>
      </xdr:nvSpPr>
      <xdr:spPr>
        <a:xfrm>
          <a:off x="5692562" y="749913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237</xdr:row>
      <xdr:rowOff>20114</xdr:rowOff>
    </xdr:from>
    <xdr:to>
      <xdr:col>5</xdr:col>
      <xdr:colOff>419097</xdr:colOff>
      <xdr:row>237</xdr:row>
      <xdr:rowOff>182039</xdr:rowOff>
    </xdr:to>
    <xdr:sp macro="" textlink="">
      <xdr:nvSpPr>
        <xdr:cNvPr id="17" name="Down Arrow 16"/>
        <xdr:cNvSpPr/>
      </xdr:nvSpPr>
      <xdr:spPr>
        <a:xfrm>
          <a:off x="3914772" y="750009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270</xdr:row>
      <xdr:rowOff>10588</xdr:rowOff>
    </xdr:from>
    <xdr:to>
      <xdr:col>7</xdr:col>
      <xdr:colOff>375708</xdr:colOff>
      <xdr:row>271</xdr:row>
      <xdr:rowOff>1063</xdr:rowOff>
    </xdr:to>
    <xdr:sp macro="" textlink="">
      <xdr:nvSpPr>
        <xdr:cNvPr id="18" name="Up Arrow 17"/>
        <xdr:cNvSpPr/>
      </xdr:nvSpPr>
      <xdr:spPr>
        <a:xfrm>
          <a:off x="5143922" y="493881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270</xdr:row>
      <xdr:rowOff>20114</xdr:rowOff>
    </xdr:from>
    <xdr:to>
      <xdr:col>5</xdr:col>
      <xdr:colOff>419097</xdr:colOff>
      <xdr:row>270</xdr:row>
      <xdr:rowOff>182039</xdr:rowOff>
    </xdr:to>
    <xdr:sp macro="" textlink="">
      <xdr:nvSpPr>
        <xdr:cNvPr id="19" name="Down Arrow 18"/>
        <xdr:cNvSpPr/>
      </xdr:nvSpPr>
      <xdr:spPr>
        <a:xfrm>
          <a:off x="3366132" y="493977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6</xdr:row>
      <xdr:rowOff>10588</xdr:rowOff>
    </xdr:from>
    <xdr:to>
      <xdr:col>8</xdr:col>
      <xdr:colOff>375708</xdr:colOff>
      <xdr:row>7</xdr:row>
      <xdr:rowOff>1063</xdr:rowOff>
    </xdr:to>
    <xdr:sp macro="" textlink="">
      <xdr:nvSpPr>
        <xdr:cNvPr id="20" name="Up Arrow 19"/>
        <xdr:cNvSpPr/>
      </xdr:nvSpPr>
      <xdr:spPr>
        <a:xfrm>
          <a:off x="5921162" y="110786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6</xdr:row>
      <xdr:rowOff>20114</xdr:rowOff>
    </xdr:from>
    <xdr:to>
      <xdr:col>5</xdr:col>
      <xdr:colOff>419097</xdr:colOff>
      <xdr:row>6</xdr:row>
      <xdr:rowOff>182039</xdr:rowOff>
    </xdr:to>
    <xdr:sp macro="" textlink="">
      <xdr:nvSpPr>
        <xdr:cNvPr id="21" name="Down Arrow 20"/>
        <xdr:cNvSpPr/>
      </xdr:nvSpPr>
      <xdr:spPr>
        <a:xfrm>
          <a:off x="3366132" y="111739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39</xdr:row>
      <xdr:rowOff>10588</xdr:rowOff>
    </xdr:from>
    <xdr:to>
      <xdr:col>8</xdr:col>
      <xdr:colOff>375708</xdr:colOff>
      <xdr:row>40</xdr:row>
      <xdr:rowOff>1063</xdr:rowOff>
    </xdr:to>
    <xdr:sp macro="" textlink="">
      <xdr:nvSpPr>
        <xdr:cNvPr id="22" name="Up Arrow 21"/>
        <xdr:cNvSpPr/>
      </xdr:nvSpPr>
      <xdr:spPr>
        <a:xfrm>
          <a:off x="5921162" y="714290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39</xdr:row>
      <xdr:rowOff>20114</xdr:rowOff>
    </xdr:from>
    <xdr:to>
      <xdr:col>5</xdr:col>
      <xdr:colOff>419097</xdr:colOff>
      <xdr:row>39</xdr:row>
      <xdr:rowOff>182039</xdr:rowOff>
    </xdr:to>
    <xdr:sp macro="" textlink="">
      <xdr:nvSpPr>
        <xdr:cNvPr id="23" name="Down Arrow 22"/>
        <xdr:cNvSpPr/>
      </xdr:nvSpPr>
      <xdr:spPr>
        <a:xfrm>
          <a:off x="3366132" y="715243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72</xdr:row>
      <xdr:rowOff>10588</xdr:rowOff>
    </xdr:from>
    <xdr:to>
      <xdr:col>8</xdr:col>
      <xdr:colOff>375708</xdr:colOff>
      <xdr:row>73</xdr:row>
      <xdr:rowOff>1063</xdr:rowOff>
    </xdr:to>
    <xdr:sp macro="" textlink="">
      <xdr:nvSpPr>
        <xdr:cNvPr id="24" name="Up Arrow 23"/>
        <xdr:cNvSpPr/>
      </xdr:nvSpPr>
      <xdr:spPr>
        <a:xfrm>
          <a:off x="5921162" y="1317794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72</xdr:row>
      <xdr:rowOff>20114</xdr:rowOff>
    </xdr:from>
    <xdr:to>
      <xdr:col>5</xdr:col>
      <xdr:colOff>419097</xdr:colOff>
      <xdr:row>72</xdr:row>
      <xdr:rowOff>182039</xdr:rowOff>
    </xdr:to>
    <xdr:sp macro="" textlink="">
      <xdr:nvSpPr>
        <xdr:cNvPr id="25" name="Down Arrow 24"/>
        <xdr:cNvSpPr/>
      </xdr:nvSpPr>
      <xdr:spPr>
        <a:xfrm>
          <a:off x="3366132" y="1318747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105</xdr:row>
      <xdr:rowOff>10588</xdr:rowOff>
    </xdr:from>
    <xdr:to>
      <xdr:col>8</xdr:col>
      <xdr:colOff>375708</xdr:colOff>
      <xdr:row>106</xdr:row>
      <xdr:rowOff>1063</xdr:rowOff>
    </xdr:to>
    <xdr:sp macro="" textlink="">
      <xdr:nvSpPr>
        <xdr:cNvPr id="26" name="Up Arrow 25"/>
        <xdr:cNvSpPr/>
      </xdr:nvSpPr>
      <xdr:spPr>
        <a:xfrm>
          <a:off x="5921162" y="192129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105</xdr:row>
      <xdr:rowOff>20114</xdr:rowOff>
    </xdr:from>
    <xdr:to>
      <xdr:col>5</xdr:col>
      <xdr:colOff>419097</xdr:colOff>
      <xdr:row>105</xdr:row>
      <xdr:rowOff>182039</xdr:rowOff>
    </xdr:to>
    <xdr:sp macro="" textlink="">
      <xdr:nvSpPr>
        <xdr:cNvPr id="27" name="Down Arrow 26"/>
        <xdr:cNvSpPr/>
      </xdr:nvSpPr>
      <xdr:spPr>
        <a:xfrm>
          <a:off x="3366132" y="192225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138</xdr:row>
      <xdr:rowOff>10588</xdr:rowOff>
    </xdr:from>
    <xdr:to>
      <xdr:col>8</xdr:col>
      <xdr:colOff>375708</xdr:colOff>
      <xdr:row>139</xdr:row>
      <xdr:rowOff>1063</xdr:rowOff>
    </xdr:to>
    <xdr:sp macro="" textlink="">
      <xdr:nvSpPr>
        <xdr:cNvPr id="28" name="Up Arrow 27"/>
        <xdr:cNvSpPr/>
      </xdr:nvSpPr>
      <xdr:spPr>
        <a:xfrm>
          <a:off x="5921162" y="2524802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138</xdr:row>
      <xdr:rowOff>20114</xdr:rowOff>
    </xdr:from>
    <xdr:to>
      <xdr:col>5</xdr:col>
      <xdr:colOff>419097</xdr:colOff>
      <xdr:row>138</xdr:row>
      <xdr:rowOff>182039</xdr:rowOff>
    </xdr:to>
    <xdr:sp macro="" textlink="">
      <xdr:nvSpPr>
        <xdr:cNvPr id="29" name="Down Arrow 28"/>
        <xdr:cNvSpPr/>
      </xdr:nvSpPr>
      <xdr:spPr>
        <a:xfrm>
          <a:off x="3366132" y="2525755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171</xdr:row>
      <xdr:rowOff>10588</xdr:rowOff>
    </xdr:from>
    <xdr:to>
      <xdr:col>8</xdr:col>
      <xdr:colOff>375708</xdr:colOff>
      <xdr:row>172</xdr:row>
      <xdr:rowOff>1063</xdr:rowOff>
    </xdr:to>
    <xdr:sp macro="" textlink="">
      <xdr:nvSpPr>
        <xdr:cNvPr id="30" name="Up Arrow 29"/>
        <xdr:cNvSpPr/>
      </xdr:nvSpPr>
      <xdr:spPr>
        <a:xfrm>
          <a:off x="5921162" y="3128306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171</xdr:row>
      <xdr:rowOff>20114</xdr:rowOff>
    </xdr:from>
    <xdr:to>
      <xdr:col>5</xdr:col>
      <xdr:colOff>419097</xdr:colOff>
      <xdr:row>171</xdr:row>
      <xdr:rowOff>182039</xdr:rowOff>
    </xdr:to>
    <xdr:sp macro="" textlink="">
      <xdr:nvSpPr>
        <xdr:cNvPr id="31" name="Down Arrow 30"/>
        <xdr:cNvSpPr/>
      </xdr:nvSpPr>
      <xdr:spPr>
        <a:xfrm>
          <a:off x="3366132" y="3129259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213782</xdr:colOff>
      <xdr:row>204</xdr:row>
      <xdr:rowOff>10588</xdr:rowOff>
    </xdr:from>
    <xdr:to>
      <xdr:col>8</xdr:col>
      <xdr:colOff>375708</xdr:colOff>
      <xdr:row>205</xdr:row>
      <xdr:rowOff>1063</xdr:rowOff>
    </xdr:to>
    <xdr:sp macro="" textlink="">
      <xdr:nvSpPr>
        <xdr:cNvPr id="32" name="Up Arrow 31"/>
        <xdr:cNvSpPr/>
      </xdr:nvSpPr>
      <xdr:spPr>
        <a:xfrm>
          <a:off x="5921162" y="3731810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204</xdr:row>
      <xdr:rowOff>20114</xdr:rowOff>
    </xdr:from>
    <xdr:to>
      <xdr:col>5</xdr:col>
      <xdr:colOff>419097</xdr:colOff>
      <xdr:row>204</xdr:row>
      <xdr:rowOff>182039</xdr:rowOff>
    </xdr:to>
    <xdr:sp macro="" textlink="">
      <xdr:nvSpPr>
        <xdr:cNvPr id="33" name="Down Arrow 32"/>
        <xdr:cNvSpPr/>
      </xdr:nvSpPr>
      <xdr:spPr>
        <a:xfrm>
          <a:off x="3366132" y="3732763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237</xdr:row>
      <xdr:rowOff>10588</xdr:rowOff>
    </xdr:from>
    <xdr:to>
      <xdr:col>7</xdr:col>
      <xdr:colOff>375708</xdr:colOff>
      <xdr:row>238</xdr:row>
      <xdr:rowOff>1063</xdr:rowOff>
    </xdr:to>
    <xdr:sp macro="" textlink="">
      <xdr:nvSpPr>
        <xdr:cNvPr id="34" name="Up Arrow 33"/>
        <xdr:cNvSpPr/>
      </xdr:nvSpPr>
      <xdr:spPr>
        <a:xfrm>
          <a:off x="5143922" y="4335314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237</xdr:row>
      <xdr:rowOff>20114</xdr:rowOff>
    </xdr:from>
    <xdr:to>
      <xdr:col>5</xdr:col>
      <xdr:colOff>419097</xdr:colOff>
      <xdr:row>237</xdr:row>
      <xdr:rowOff>182039</xdr:rowOff>
    </xdr:to>
    <xdr:sp macro="" textlink="">
      <xdr:nvSpPr>
        <xdr:cNvPr id="35" name="Down Arrow 34"/>
        <xdr:cNvSpPr/>
      </xdr:nvSpPr>
      <xdr:spPr>
        <a:xfrm>
          <a:off x="3366132" y="4336267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270</xdr:row>
      <xdr:rowOff>10588</xdr:rowOff>
    </xdr:from>
    <xdr:to>
      <xdr:col>7</xdr:col>
      <xdr:colOff>375708</xdr:colOff>
      <xdr:row>271</xdr:row>
      <xdr:rowOff>1063</xdr:rowOff>
    </xdr:to>
    <xdr:sp macro="" textlink="">
      <xdr:nvSpPr>
        <xdr:cNvPr id="36" name="Up Arrow 35"/>
        <xdr:cNvSpPr/>
      </xdr:nvSpPr>
      <xdr:spPr>
        <a:xfrm>
          <a:off x="5143922" y="4938818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270</xdr:row>
      <xdr:rowOff>20114</xdr:rowOff>
    </xdr:from>
    <xdr:to>
      <xdr:col>5</xdr:col>
      <xdr:colOff>419097</xdr:colOff>
      <xdr:row>270</xdr:row>
      <xdr:rowOff>182039</xdr:rowOff>
    </xdr:to>
    <xdr:sp macro="" textlink="">
      <xdr:nvSpPr>
        <xdr:cNvPr id="37" name="Down Arrow 36"/>
        <xdr:cNvSpPr/>
      </xdr:nvSpPr>
      <xdr:spPr>
        <a:xfrm>
          <a:off x="3366132" y="4939771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237</xdr:row>
      <xdr:rowOff>10588</xdr:rowOff>
    </xdr:from>
    <xdr:to>
      <xdr:col>7</xdr:col>
      <xdr:colOff>375708</xdr:colOff>
      <xdr:row>238</xdr:row>
      <xdr:rowOff>1063</xdr:rowOff>
    </xdr:to>
    <xdr:sp macro="" textlink="">
      <xdr:nvSpPr>
        <xdr:cNvPr id="38" name="Up Arrow 37"/>
        <xdr:cNvSpPr/>
      </xdr:nvSpPr>
      <xdr:spPr>
        <a:xfrm>
          <a:off x="4946649" y="50302588"/>
          <a:ext cx="161926" cy="176742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213782</xdr:colOff>
      <xdr:row>237</xdr:row>
      <xdr:rowOff>10588</xdr:rowOff>
    </xdr:from>
    <xdr:to>
      <xdr:col>7</xdr:col>
      <xdr:colOff>375708</xdr:colOff>
      <xdr:row>238</xdr:row>
      <xdr:rowOff>1063</xdr:rowOff>
    </xdr:to>
    <xdr:sp macro="" textlink="">
      <xdr:nvSpPr>
        <xdr:cNvPr id="39" name="Up Arrow 38"/>
        <xdr:cNvSpPr/>
      </xdr:nvSpPr>
      <xdr:spPr>
        <a:xfrm>
          <a:off x="4946649" y="50302588"/>
          <a:ext cx="161926" cy="176742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213782</xdr:colOff>
      <xdr:row>204</xdr:row>
      <xdr:rowOff>10588</xdr:rowOff>
    </xdr:from>
    <xdr:to>
      <xdr:col>7</xdr:col>
      <xdr:colOff>375708</xdr:colOff>
      <xdr:row>205</xdr:row>
      <xdr:rowOff>1063</xdr:rowOff>
    </xdr:to>
    <xdr:sp macro="" textlink="">
      <xdr:nvSpPr>
        <xdr:cNvPr id="40" name="Up Arrow 39"/>
        <xdr:cNvSpPr/>
      </xdr:nvSpPr>
      <xdr:spPr>
        <a:xfrm>
          <a:off x="4946649" y="50302588"/>
          <a:ext cx="161926" cy="176742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213782</xdr:colOff>
      <xdr:row>204</xdr:row>
      <xdr:rowOff>10588</xdr:rowOff>
    </xdr:from>
    <xdr:to>
      <xdr:col>7</xdr:col>
      <xdr:colOff>375708</xdr:colOff>
      <xdr:row>205</xdr:row>
      <xdr:rowOff>1063</xdr:rowOff>
    </xdr:to>
    <xdr:sp macro="" textlink="">
      <xdr:nvSpPr>
        <xdr:cNvPr id="41" name="Up Arrow 40"/>
        <xdr:cNvSpPr/>
      </xdr:nvSpPr>
      <xdr:spPr>
        <a:xfrm>
          <a:off x="4946649" y="50302588"/>
          <a:ext cx="161926" cy="176742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213782</xdr:colOff>
      <xdr:row>304</xdr:row>
      <xdr:rowOff>10588</xdr:rowOff>
    </xdr:from>
    <xdr:to>
      <xdr:col>7</xdr:col>
      <xdr:colOff>375708</xdr:colOff>
      <xdr:row>305</xdr:row>
      <xdr:rowOff>1063</xdr:rowOff>
    </xdr:to>
    <xdr:sp macro="" textlink="">
      <xdr:nvSpPr>
        <xdr:cNvPr id="48" name="Up Arrow 47"/>
        <xdr:cNvSpPr/>
      </xdr:nvSpPr>
      <xdr:spPr>
        <a:xfrm>
          <a:off x="4861982" y="5542322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304</xdr:row>
      <xdr:rowOff>20114</xdr:rowOff>
    </xdr:from>
    <xdr:to>
      <xdr:col>5</xdr:col>
      <xdr:colOff>419097</xdr:colOff>
      <xdr:row>304</xdr:row>
      <xdr:rowOff>182039</xdr:rowOff>
    </xdr:to>
    <xdr:sp macro="" textlink="">
      <xdr:nvSpPr>
        <xdr:cNvPr id="49" name="Down Arrow 48"/>
        <xdr:cNvSpPr/>
      </xdr:nvSpPr>
      <xdr:spPr>
        <a:xfrm>
          <a:off x="3084192" y="5543275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304</xdr:row>
      <xdr:rowOff>10588</xdr:rowOff>
    </xdr:from>
    <xdr:to>
      <xdr:col>7</xdr:col>
      <xdr:colOff>375708</xdr:colOff>
      <xdr:row>305</xdr:row>
      <xdr:rowOff>1063</xdr:rowOff>
    </xdr:to>
    <xdr:sp macro="" textlink="">
      <xdr:nvSpPr>
        <xdr:cNvPr id="50" name="Up Arrow 49"/>
        <xdr:cNvSpPr/>
      </xdr:nvSpPr>
      <xdr:spPr>
        <a:xfrm>
          <a:off x="4861982" y="5542322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304</xdr:row>
      <xdr:rowOff>20114</xdr:rowOff>
    </xdr:from>
    <xdr:to>
      <xdr:col>5</xdr:col>
      <xdr:colOff>419097</xdr:colOff>
      <xdr:row>304</xdr:row>
      <xdr:rowOff>182039</xdr:rowOff>
    </xdr:to>
    <xdr:sp macro="" textlink="">
      <xdr:nvSpPr>
        <xdr:cNvPr id="51" name="Down Arrow 50"/>
        <xdr:cNvSpPr/>
      </xdr:nvSpPr>
      <xdr:spPr>
        <a:xfrm>
          <a:off x="3084192" y="5543275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213782</xdr:colOff>
      <xdr:row>304</xdr:row>
      <xdr:rowOff>10588</xdr:rowOff>
    </xdr:from>
    <xdr:to>
      <xdr:col>7</xdr:col>
      <xdr:colOff>375708</xdr:colOff>
      <xdr:row>305</xdr:row>
      <xdr:rowOff>1063</xdr:rowOff>
    </xdr:to>
    <xdr:sp macro="" textlink="">
      <xdr:nvSpPr>
        <xdr:cNvPr id="52" name="Up Arrow 51"/>
        <xdr:cNvSpPr/>
      </xdr:nvSpPr>
      <xdr:spPr>
        <a:xfrm>
          <a:off x="4861982" y="55423228"/>
          <a:ext cx="161926" cy="173355"/>
        </a:xfrm>
        <a:prstGeom prst="up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257172</xdr:colOff>
      <xdr:row>304</xdr:row>
      <xdr:rowOff>20114</xdr:rowOff>
    </xdr:from>
    <xdr:to>
      <xdr:col>5</xdr:col>
      <xdr:colOff>419097</xdr:colOff>
      <xdr:row>304</xdr:row>
      <xdr:rowOff>182039</xdr:rowOff>
    </xdr:to>
    <xdr:sp macro="" textlink="">
      <xdr:nvSpPr>
        <xdr:cNvPr id="53" name="Down Arrow 52"/>
        <xdr:cNvSpPr/>
      </xdr:nvSpPr>
      <xdr:spPr>
        <a:xfrm>
          <a:off x="3084192" y="55432754"/>
          <a:ext cx="161925" cy="1619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211665</xdr:colOff>
      <xdr:row>1328</xdr:row>
      <xdr:rowOff>16935</xdr:rowOff>
    </xdr:from>
    <xdr:to>
      <xdr:col>3</xdr:col>
      <xdr:colOff>448732</xdr:colOff>
      <xdr:row>1329</xdr:row>
      <xdr:rowOff>25403</xdr:rowOff>
    </xdr:to>
    <xdr:sp macro="" textlink="">
      <xdr:nvSpPr>
        <xdr:cNvPr id="2" name="Up Arrow 1"/>
        <xdr:cNvSpPr/>
      </xdr:nvSpPr>
      <xdr:spPr>
        <a:xfrm>
          <a:off x="2170005" y="2428815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1361</xdr:row>
      <xdr:rowOff>16935</xdr:rowOff>
    </xdr:from>
    <xdr:to>
      <xdr:col>3</xdr:col>
      <xdr:colOff>448732</xdr:colOff>
      <xdr:row>1362</xdr:row>
      <xdr:rowOff>25403</xdr:rowOff>
    </xdr:to>
    <xdr:sp macro="" textlink="">
      <xdr:nvSpPr>
        <xdr:cNvPr id="3" name="Up Arrow 2"/>
        <xdr:cNvSpPr/>
      </xdr:nvSpPr>
      <xdr:spPr>
        <a:xfrm>
          <a:off x="2170005" y="2489166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1394</xdr:row>
      <xdr:rowOff>16935</xdr:rowOff>
    </xdr:from>
    <xdr:to>
      <xdr:col>3</xdr:col>
      <xdr:colOff>448732</xdr:colOff>
      <xdr:row>1395</xdr:row>
      <xdr:rowOff>25403</xdr:rowOff>
    </xdr:to>
    <xdr:sp macro="" textlink="">
      <xdr:nvSpPr>
        <xdr:cNvPr id="4" name="Up Arrow 3"/>
        <xdr:cNvSpPr/>
      </xdr:nvSpPr>
      <xdr:spPr>
        <a:xfrm>
          <a:off x="2170005" y="2549516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1427</xdr:row>
      <xdr:rowOff>16935</xdr:rowOff>
    </xdr:from>
    <xdr:to>
      <xdr:col>3</xdr:col>
      <xdr:colOff>448732</xdr:colOff>
      <xdr:row>1428</xdr:row>
      <xdr:rowOff>25403</xdr:rowOff>
    </xdr:to>
    <xdr:sp macro="" textlink="">
      <xdr:nvSpPr>
        <xdr:cNvPr id="5" name="Up Arrow 4"/>
        <xdr:cNvSpPr/>
      </xdr:nvSpPr>
      <xdr:spPr>
        <a:xfrm>
          <a:off x="2170005" y="2609866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1460</xdr:row>
      <xdr:rowOff>16935</xdr:rowOff>
    </xdr:from>
    <xdr:to>
      <xdr:col>3</xdr:col>
      <xdr:colOff>448732</xdr:colOff>
      <xdr:row>1461</xdr:row>
      <xdr:rowOff>25403</xdr:rowOff>
    </xdr:to>
    <xdr:sp macro="" textlink="">
      <xdr:nvSpPr>
        <xdr:cNvPr id="6" name="Up Arrow 5"/>
        <xdr:cNvSpPr/>
      </xdr:nvSpPr>
      <xdr:spPr>
        <a:xfrm>
          <a:off x="2170005" y="2670217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1493</xdr:row>
      <xdr:rowOff>16935</xdr:rowOff>
    </xdr:from>
    <xdr:to>
      <xdr:col>3</xdr:col>
      <xdr:colOff>448732</xdr:colOff>
      <xdr:row>1494</xdr:row>
      <xdr:rowOff>25403</xdr:rowOff>
    </xdr:to>
    <xdr:sp macro="" textlink="">
      <xdr:nvSpPr>
        <xdr:cNvPr id="7" name="Up Arrow 6"/>
        <xdr:cNvSpPr/>
      </xdr:nvSpPr>
      <xdr:spPr>
        <a:xfrm>
          <a:off x="2170005" y="2730567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1526</xdr:row>
      <xdr:rowOff>16935</xdr:rowOff>
    </xdr:from>
    <xdr:to>
      <xdr:col>3</xdr:col>
      <xdr:colOff>448732</xdr:colOff>
      <xdr:row>1527</xdr:row>
      <xdr:rowOff>25403</xdr:rowOff>
    </xdr:to>
    <xdr:sp macro="" textlink="">
      <xdr:nvSpPr>
        <xdr:cNvPr id="8" name="Up Arrow 7"/>
        <xdr:cNvSpPr/>
      </xdr:nvSpPr>
      <xdr:spPr>
        <a:xfrm>
          <a:off x="2170005" y="2790918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1559</xdr:row>
      <xdr:rowOff>16935</xdr:rowOff>
    </xdr:from>
    <xdr:to>
      <xdr:col>3</xdr:col>
      <xdr:colOff>448732</xdr:colOff>
      <xdr:row>1560</xdr:row>
      <xdr:rowOff>25403</xdr:rowOff>
    </xdr:to>
    <xdr:sp macro="" textlink="">
      <xdr:nvSpPr>
        <xdr:cNvPr id="9" name="Up Arrow 8"/>
        <xdr:cNvSpPr/>
      </xdr:nvSpPr>
      <xdr:spPr>
        <a:xfrm>
          <a:off x="2170005" y="2851268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1592</xdr:row>
      <xdr:rowOff>16935</xdr:rowOff>
    </xdr:from>
    <xdr:to>
      <xdr:col>3</xdr:col>
      <xdr:colOff>448732</xdr:colOff>
      <xdr:row>1593</xdr:row>
      <xdr:rowOff>25403</xdr:rowOff>
    </xdr:to>
    <xdr:sp macro="" textlink="">
      <xdr:nvSpPr>
        <xdr:cNvPr id="10" name="Up Arrow 9"/>
        <xdr:cNvSpPr/>
      </xdr:nvSpPr>
      <xdr:spPr>
        <a:xfrm>
          <a:off x="2170005" y="291161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1625</xdr:row>
      <xdr:rowOff>16935</xdr:rowOff>
    </xdr:from>
    <xdr:to>
      <xdr:col>3</xdr:col>
      <xdr:colOff>448732</xdr:colOff>
      <xdr:row>1626</xdr:row>
      <xdr:rowOff>25403</xdr:rowOff>
    </xdr:to>
    <xdr:sp macro="" textlink="">
      <xdr:nvSpPr>
        <xdr:cNvPr id="11" name="Up Arrow 10"/>
        <xdr:cNvSpPr/>
      </xdr:nvSpPr>
      <xdr:spPr>
        <a:xfrm>
          <a:off x="2170005" y="2971969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1658</xdr:row>
      <xdr:rowOff>16935</xdr:rowOff>
    </xdr:from>
    <xdr:to>
      <xdr:col>3</xdr:col>
      <xdr:colOff>448732</xdr:colOff>
      <xdr:row>1659</xdr:row>
      <xdr:rowOff>25403</xdr:rowOff>
    </xdr:to>
    <xdr:sp macro="" textlink="">
      <xdr:nvSpPr>
        <xdr:cNvPr id="12" name="Up Arrow 11"/>
        <xdr:cNvSpPr/>
      </xdr:nvSpPr>
      <xdr:spPr>
        <a:xfrm>
          <a:off x="2170005" y="3032319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1691</xdr:row>
      <xdr:rowOff>16935</xdr:rowOff>
    </xdr:from>
    <xdr:to>
      <xdr:col>3</xdr:col>
      <xdr:colOff>448732</xdr:colOff>
      <xdr:row>1692</xdr:row>
      <xdr:rowOff>25403</xdr:rowOff>
    </xdr:to>
    <xdr:sp macro="" textlink="">
      <xdr:nvSpPr>
        <xdr:cNvPr id="13" name="Up Arrow 12"/>
        <xdr:cNvSpPr/>
      </xdr:nvSpPr>
      <xdr:spPr>
        <a:xfrm>
          <a:off x="2170005" y="3092670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1724</xdr:row>
      <xdr:rowOff>16935</xdr:rowOff>
    </xdr:from>
    <xdr:to>
      <xdr:col>3</xdr:col>
      <xdr:colOff>448732</xdr:colOff>
      <xdr:row>1725</xdr:row>
      <xdr:rowOff>25403</xdr:rowOff>
    </xdr:to>
    <xdr:sp macro="" textlink="">
      <xdr:nvSpPr>
        <xdr:cNvPr id="14" name="Up Arrow 13"/>
        <xdr:cNvSpPr/>
      </xdr:nvSpPr>
      <xdr:spPr>
        <a:xfrm>
          <a:off x="2170005" y="3153020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1757</xdr:row>
      <xdr:rowOff>16935</xdr:rowOff>
    </xdr:from>
    <xdr:to>
      <xdr:col>3</xdr:col>
      <xdr:colOff>448732</xdr:colOff>
      <xdr:row>1758</xdr:row>
      <xdr:rowOff>25403</xdr:rowOff>
    </xdr:to>
    <xdr:sp macro="" textlink="">
      <xdr:nvSpPr>
        <xdr:cNvPr id="15" name="Up Arrow 14"/>
        <xdr:cNvSpPr/>
      </xdr:nvSpPr>
      <xdr:spPr>
        <a:xfrm>
          <a:off x="2170005" y="3213370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1790</xdr:row>
      <xdr:rowOff>16935</xdr:rowOff>
    </xdr:from>
    <xdr:to>
      <xdr:col>3</xdr:col>
      <xdr:colOff>448732</xdr:colOff>
      <xdr:row>1791</xdr:row>
      <xdr:rowOff>25403</xdr:rowOff>
    </xdr:to>
    <xdr:sp macro="" textlink="">
      <xdr:nvSpPr>
        <xdr:cNvPr id="16" name="Up Arrow 15"/>
        <xdr:cNvSpPr/>
      </xdr:nvSpPr>
      <xdr:spPr>
        <a:xfrm>
          <a:off x="2170005" y="3273721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1823</xdr:row>
      <xdr:rowOff>16935</xdr:rowOff>
    </xdr:from>
    <xdr:to>
      <xdr:col>3</xdr:col>
      <xdr:colOff>448732</xdr:colOff>
      <xdr:row>1824</xdr:row>
      <xdr:rowOff>25403</xdr:rowOff>
    </xdr:to>
    <xdr:sp macro="" textlink="">
      <xdr:nvSpPr>
        <xdr:cNvPr id="17" name="Up Arrow 16"/>
        <xdr:cNvSpPr/>
      </xdr:nvSpPr>
      <xdr:spPr>
        <a:xfrm>
          <a:off x="2170005" y="3334071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1856</xdr:row>
      <xdr:rowOff>16935</xdr:rowOff>
    </xdr:from>
    <xdr:to>
      <xdr:col>3</xdr:col>
      <xdr:colOff>448732</xdr:colOff>
      <xdr:row>1857</xdr:row>
      <xdr:rowOff>25403</xdr:rowOff>
    </xdr:to>
    <xdr:sp macro="" textlink="">
      <xdr:nvSpPr>
        <xdr:cNvPr id="18" name="Up Arrow 17"/>
        <xdr:cNvSpPr/>
      </xdr:nvSpPr>
      <xdr:spPr>
        <a:xfrm>
          <a:off x="2170005" y="3394422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1889</xdr:row>
      <xdr:rowOff>16935</xdr:rowOff>
    </xdr:from>
    <xdr:to>
      <xdr:col>3</xdr:col>
      <xdr:colOff>448732</xdr:colOff>
      <xdr:row>1890</xdr:row>
      <xdr:rowOff>25403</xdr:rowOff>
    </xdr:to>
    <xdr:sp macro="" textlink="">
      <xdr:nvSpPr>
        <xdr:cNvPr id="19" name="Up Arrow 18"/>
        <xdr:cNvSpPr/>
      </xdr:nvSpPr>
      <xdr:spPr>
        <a:xfrm>
          <a:off x="2170005" y="3454772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1922</xdr:row>
      <xdr:rowOff>16935</xdr:rowOff>
    </xdr:from>
    <xdr:to>
      <xdr:col>3</xdr:col>
      <xdr:colOff>448732</xdr:colOff>
      <xdr:row>1923</xdr:row>
      <xdr:rowOff>25403</xdr:rowOff>
    </xdr:to>
    <xdr:sp macro="" textlink="">
      <xdr:nvSpPr>
        <xdr:cNvPr id="20" name="Up Arrow 19"/>
        <xdr:cNvSpPr/>
      </xdr:nvSpPr>
      <xdr:spPr>
        <a:xfrm>
          <a:off x="2170005" y="3515122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1955</xdr:row>
      <xdr:rowOff>16935</xdr:rowOff>
    </xdr:from>
    <xdr:to>
      <xdr:col>3</xdr:col>
      <xdr:colOff>448732</xdr:colOff>
      <xdr:row>1956</xdr:row>
      <xdr:rowOff>25403</xdr:rowOff>
    </xdr:to>
    <xdr:sp macro="" textlink="">
      <xdr:nvSpPr>
        <xdr:cNvPr id="21" name="Up Arrow 20"/>
        <xdr:cNvSpPr/>
      </xdr:nvSpPr>
      <xdr:spPr>
        <a:xfrm>
          <a:off x="2170005" y="3575473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1988</xdr:row>
      <xdr:rowOff>16935</xdr:rowOff>
    </xdr:from>
    <xdr:to>
      <xdr:col>3</xdr:col>
      <xdr:colOff>448732</xdr:colOff>
      <xdr:row>1989</xdr:row>
      <xdr:rowOff>25403</xdr:rowOff>
    </xdr:to>
    <xdr:sp macro="" textlink="">
      <xdr:nvSpPr>
        <xdr:cNvPr id="22" name="Up Arrow 21"/>
        <xdr:cNvSpPr/>
      </xdr:nvSpPr>
      <xdr:spPr>
        <a:xfrm>
          <a:off x="2170005" y="3635823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2021</xdr:row>
      <xdr:rowOff>16935</xdr:rowOff>
    </xdr:from>
    <xdr:to>
      <xdr:col>3</xdr:col>
      <xdr:colOff>448732</xdr:colOff>
      <xdr:row>2022</xdr:row>
      <xdr:rowOff>25403</xdr:rowOff>
    </xdr:to>
    <xdr:sp macro="" textlink="">
      <xdr:nvSpPr>
        <xdr:cNvPr id="23" name="Up Arrow 22"/>
        <xdr:cNvSpPr/>
      </xdr:nvSpPr>
      <xdr:spPr>
        <a:xfrm>
          <a:off x="2170005" y="3696174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2054</xdr:row>
      <xdr:rowOff>16935</xdr:rowOff>
    </xdr:from>
    <xdr:to>
      <xdr:col>3</xdr:col>
      <xdr:colOff>448732</xdr:colOff>
      <xdr:row>2055</xdr:row>
      <xdr:rowOff>25403</xdr:rowOff>
    </xdr:to>
    <xdr:sp macro="" textlink="">
      <xdr:nvSpPr>
        <xdr:cNvPr id="24" name="Up Arrow 23"/>
        <xdr:cNvSpPr/>
      </xdr:nvSpPr>
      <xdr:spPr>
        <a:xfrm>
          <a:off x="2170005" y="3756524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2087</xdr:row>
      <xdr:rowOff>16935</xdr:rowOff>
    </xdr:from>
    <xdr:to>
      <xdr:col>3</xdr:col>
      <xdr:colOff>448732</xdr:colOff>
      <xdr:row>2088</xdr:row>
      <xdr:rowOff>25403</xdr:rowOff>
    </xdr:to>
    <xdr:sp macro="" textlink="">
      <xdr:nvSpPr>
        <xdr:cNvPr id="25" name="Up Arrow 24"/>
        <xdr:cNvSpPr/>
      </xdr:nvSpPr>
      <xdr:spPr>
        <a:xfrm>
          <a:off x="2170005" y="3816874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2087</xdr:row>
      <xdr:rowOff>16935</xdr:rowOff>
    </xdr:from>
    <xdr:to>
      <xdr:col>3</xdr:col>
      <xdr:colOff>448732</xdr:colOff>
      <xdr:row>2088</xdr:row>
      <xdr:rowOff>25403</xdr:rowOff>
    </xdr:to>
    <xdr:sp macro="" textlink="">
      <xdr:nvSpPr>
        <xdr:cNvPr id="26" name="Up Arrow 25"/>
        <xdr:cNvSpPr/>
      </xdr:nvSpPr>
      <xdr:spPr>
        <a:xfrm>
          <a:off x="2170005" y="3816874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2120</xdr:row>
      <xdr:rowOff>16935</xdr:rowOff>
    </xdr:from>
    <xdr:to>
      <xdr:col>3</xdr:col>
      <xdr:colOff>448732</xdr:colOff>
      <xdr:row>2121</xdr:row>
      <xdr:rowOff>25403</xdr:rowOff>
    </xdr:to>
    <xdr:sp macro="" textlink="">
      <xdr:nvSpPr>
        <xdr:cNvPr id="27" name="Up Arrow 26"/>
        <xdr:cNvSpPr/>
      </xdr:nvSpPr>
      <xdr:spPr>
        <a:xfrm>
          <a:off x="2170005" y="3877225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2120</xdr:row>
      <xdr:rowOff>16935</xdr:rowOff>
    </xdr:from>
    <xdr:to>
      <xdr:col>3</xdr:col>
      <xdr:colOff>448732</xdr:colOff>
      <xdr:row>2121</xdr:row>
      <xdr:rowOff>25403</xdr:rowOff>
    </xdr:to>
    <xdr:sp macro="" textlink="">
      <xdr:nvSpPr>
        <xdr:cNvPr id="28" name="Up Arrow 27"/>
        <xdr:cNvSpPr/>
      </xdr:nvSpPr>
      <xdr:spPr>
        <a:xfrm>
          <a:off x="2170005" y="3877225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2153</xdr:row>
      <xdr:rowOff>16935</xdr:rowOff>
    </xdr:from>
    <xdr:to>
      <xdr:col>3</xdr:col>
      <xdr:colOff>448732</xdr:colOff>
      <xdr:row>2154</xdr:row>
      <xdr:rowOff>25403</xdr:rowOff>
    </xdr:to>
    <xdr:sp macro="" textlink="">
      <xdr:nvSpPr>
        <xdr:cNvPr id="29" name="Up Arrow 28"/>
        <xdr:cNvSpPr/>
      </xdr:nvSpPr>
      <xdr:spPr>
        <a:xfrm>
          <a:off x="2170005" y="3937575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2153</xdr:row>
      <xdr:rowOff>16935</xdr:rowOff>
    </xdr:from>
    <xdr:to>
      <xdr:col>3</xdr:col>
      <xdr:colOff>448732</xdr:colOff>
      <xdr:row>2154</xdr:row>
      <xdr:rowOff>25403</xdr:rowOff>
    </xdr:to>
    <xdr:sp macro="" textlink="">
      <xdr:nvSpPr>
        <xdr:cNvPr id="30" name="Up Arrow 29"/>
        <xdr:cNvSpPr/>
      </xdr:nvSpPr>
      <xdr:spPr>
        <a:xfrm>
          <a:off x="2170005" y="3937575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2186</xdr:row>
      <xdr:rowOff>16935</xdr:rowOff>
    </xdr:from>
    <xdr:to>
      <xdr:col>3</xdr:col>
      <xdr:colOff>448732</xdr:colOff>
      <xdr:row>2187</xdr:row>
      <xdr:rowOff>25403</xdr:rowOff>
    </xdr:to>
    <xdr:sp macro="" textlink="">
      <xdr:nvSpPr>
        <xdr:cNvPr id="31" name="Up Arrow 30"/>
        <xdr:cNvSpPr/>
      </xdr:nvSpPr>
      <xdr:spPr>
        <a:xfrm>
          <a:off x="2170005" y="3997926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2186</xdr:row>
      <xdr:rowOff>16935</xdr:rowOff>
    </xdr:from>
    <xdr:to>
      <xdr:col>3</xdr:col>
      <xdr:colOff>448732</xdr:colOff>
      <xdr:row>2187</xdr:row>
      <xdr:rowOff>25403</xdr:rowOff>
    </xdr:to>
    <xdr:sp macro="" textlink="">
      <xdr:nvSpPr>
        <xdr:cNvPr id="32" name="Up Arrow 31"/>
        <xdr:cNvSpPr/>
      </xdr:nvSpPr>
      <xdr:spPr>
        <a:xfrm>
          <a:off x="2170005" y="3997926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2219</xdr:row>
      <xdr:rowOff>16935</xdr:rowOff>
    </xdr:from>
    <xdr:to>
      <xdr:col>3</xdr:col>
      <xdr:colOff>448732</xdr:colOff>
      <xdr:row>2220</xdr:row>
      <xdr:rowOff>25403</xdr:rowOff>
    </xdr:to>
    <xdr:sp macro="" textlink="">
      <xdr:nvSpPr>
        <xdr:cNvPr id="33" name="Up Arrow 32"/>
        <xdr:cNvSpPr/>
      </xdr:nvSpPr>
      <xdr:spPr>
        <a:xfrm>
          <a:off x="2170005" y="4058276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2219</xdr:row>
      <xdr:rowOff>16935</xdr:rowOff>
    </xdr:from>
    <xdr:to>
      <xdr:col>3</xdr:col>
      <xdr:colOff>448732</xdr:colOff>
      <xdr:row>2220</xdr:row>
      <xdr:rowOff>25403</xdr:rowOff>
    </xdr:to>
    <xdr:sp macro="" textlink="">
      <xdr:nvSpPr>
        <xdr:cNvPr id="34" name="Up Arrow 33"/>
        <xdr:cNvSpPr/>
      </xdr:nvSpPr>
      <xdr:spPr>
        <a:xfrm>
          <a:off x="2170005" y="4058276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2252</xdr:row>
      <xdr:rowOff>16935</xdr:rowOff>
    </xdr:from>
    <xdr:to>
      <xdr:col>3</xdr:col>
      <xdr:colOff>448732</xdr:colOff>
      <xdr:row>2253</xdr:row>
      <xdr:rowOff>25403</xdr:rowOff>
    </xdr:to>
    <xdr:sp macro="" textlink="">
      <xdr:nvSpPr>
        <xdr:cNvPr id="35" name="Up Arrow 34"/>
        <xdr:cNvSpPr/>
      </xdr:nvSpPr>
      <xdr:spPr>
        <a:xfrm>
          <a:off x="2170005" y="4118626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2252</xdr:row>
      <xdr:rowOff>16935</xdr:rowOff>
    </xdr:from>
    <xdr:to>
      <xdr:col>3</xdr:col>
      <xdr:colOff>448732</xdr:colOff>
      <xdr:row>2253</xdr:row>
      <xdr:rowOff>25403</xdr:rowOff>
    </xdr:to>
    <xdr:sp macro="" textlink="">
      <xdr:nvSpPr>
        <xdr:cNvPr id="36" name="Up Arrow 35"/>
        <xdr:cNvSpPr/>
      </xdr:nvSpPr>
      <xdr:spPr>
        <a:xfrm>
          <a:off x="2170005" y="4118626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2285</xdr:row>
      <xdr:rowOff>16935</xdr:rowOff>
    </xdr:from>
    <xdr:to>
      <xdr:col>3</xdr:col>
      <xdr:colOff>448732</xdr:colOff>
      <xdr:row>2286</xdr:row>
      <xdr:rowOff>25403</xdr:rowOff>
    </xdr:to>
    <xdr:sp macro="" textlink="">
      <xdr:nvSpPr>
        <xdr:cNvPr id="37" name="Up Arrow 36"/>
        <xdr:cNvSpPr/>
      </xdr:nvSpPr>
      <xdr:spPr>
        <a:xfrm>
          <a:off x="2170005" y="4178977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2285</xdr:row>
      <xdr:rowOff>16935</xdr:rowOff>
    </xdr:from>
    <xdr:to>
      <xdr:col>3</xdr:col>
      <xdr:colOff>448732</xdr:colOff>
      <xdr:row>2286</xdr:row>
      <xdr:rowOff>25403</xdr:rowOff>
    </xdr:to>
    <xdr:sp macro="" textlink="">
      <xdr:nvSpPr>
        <xdr:cNvPr id="38" name="Up Arrow 37"/>
        <xdr:cNvSpPr/>
      </xdr:nvSpPr>
      <xdr:spPr>
        <a:xfrm>
          <a:off x="2170005" y="41789773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2318</xdr:row>
      <xdr:rowOff>16935</xdr:rowOff>
    </xdr:from>
    <xdr:to>
      <xdr:col>3</xdr:col>
      <xdr:colOff>448732</xdr:colOff>
      <xdr:row>2319</xdr:row>
      <xdr:rowOff>25403</xdr:rowOff>
    </xdr:to>
    <xdr:sp macro="" textlink="">
      <xdr:nvSpPr>
        <xdr:cNvPr id="39" name="Up Arrow 38"/>
        <xdr:cNvSpPr/>
      </xdr:nvSpPr>
      <xdr:spPr>
        <a:xfrm>
          <a:off x="2170005" y="4239327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2318</xdr:row>
      <xdr:rowOff>16935</xdr:rowOff>
    </xdr:from>
    <xdr:to>
      <xdr:col>3</xdr:col>
      <xdr:colOff>448732</xdr:colOff>
      <xdr:row>2319</xdr:row>
      <xdr:rowOff>25403</xdr:rowOff>
    </xdr:to>
    <xdr:sp macro="" textlink="">
      <xdr:nvSpPr>
        <xdr:cNvPr id="40" name="Up Arrow 39"/>
        <xdr:cNvSpPr/>
      </xdr:nvSpPr>
      <xdr:spPr>
        <a:xfrm>
          <a:off x="2170005" y="4239327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2351</xdr:row>
      <xdr:rowOff>16935</xdr:rowOff>
    </xdr:from>
    <xdr:to>
      <xdr:col>3</xdr:col>
      <xdr:colOff>448732</xdr:colOff>
      <xdr:row>2352</xdr:row>
      <xdr:rowOff>25403</xdr:rowOff>
    </xdr:to>
    <xdr:sp macro="" textlink="">
      <xdr:nvSpPr>
        <xdr:cNvPr id="41" name="Up Arrow 40"/>
        <xdr:cNvSpPr/>
      </xdr:nvSpPr>
      <xdr:spPr>
        <a:xfrm>
          <a:off x="2170005" y="4299678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2351</xdr:row>
      <xdr:rowOff>16935</xdr:rowOff>
    </xdr:from>
    <xdr:to>
      <xdr:col>3</xdr:col>
      <xdr:colOff>448732</xdr:colOff>
      <xdr:row>2352</xdr:row>
      <xdr:rowOff>25403</xdr:rowOff>
    </xdr:to>
    <xdr:sp macro="" textlink="">
      <xdr:nvSpPr>
        <xdr:cNvPr id="42" name="Up Arrow 41"/>
        <xdr:cNvSpPr/>
      </xdr:nvSpPr>
      <xdr:spPr>
        <a:xfrm>
          <a:off x="2170005" y="42996781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2384</xdr:row>
      <xdr:rowOff>16935</xdr:rowOff>
    </xdr:from>
    <xdr:to>
      <xdr:col>3</xdr:col>
      <xdr:colOff>448732</xdr:colOff>
      <xdr:row>2385</xdr:row>
      <xdr:rowOff>25403</xdr:rowOff>
    </xdr:to>
    <xdr:sp macro="" textlink="">
      <xdr:nvSpPr>
        <xdr:cNvPr id="43" name="Up Arrow 42"/>
        <xdr:cNvSpPr/>
      </xdr:nvSpPr>
      <xdr:spPr>
        <a:xfrm>
          <a:off x="2170005" y="4360028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2384</xdr:row>
      <xdr:rowOff>16935</xdr:rowOff>
    </xdr:from>
    <xdr:to>
      <xdr:col>3</xdr:col>
      <xdr:colOff>448732</xdr:colOff>
      <xdr:row>2385</xdr:row>
      <xdr:rowOff>25403</xdr:rowOff>
    </xdr:to>
    <xdr:sp macro="" textlink="">
      <xdr:nvSpPr>
        <xdr:cNvPr id="44" name="Up Arrow 43"/>
        <xdr:cNvSpPr/>
      </xdr:nvSpPr>
      <xdr:spPr>
        <a:xfrm>
          <a:off x="2170005" y="43600285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2417</xdr:row>
      <xdr:rowOff>16935</xdr:rowOff>
    </xdr:from>
    <xdr:to>
      <xdr:col>3</xdr:col>
      <xdr:colOff>448732</xdr:colOff>
      <xdr:row>2418</xdr:row>
      <xdr:rowOff>25403</xdr:rowOff>
    </xdr:to>
    <xdr:sp macro="" textlink="">
      <xdr:nvSpPr>
        <xdr:cNvPr id="45" name="Up Arrow 44"/>
        <xdr:cNvSpPr/>
      </xdr:nvSpPr>
      <xdr:spPr>
        <a:xfrm>
          <a:off x="2170005" y="442037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2417</xdr:row>
      <xdr:rowOff>16935</xdr:rowOff>
    </xdr:from>
    <xdr:to>
      <xdr:col>3</xdr:col>
      <xdr:colOff>448732</xdr:colOff>
      <xdr:row>2418</xdr:row>
      <xdr:rowOff>25403</xdr:rowOff>
    </xdr:to>
    <xdr:sp macro="" textlink="">
      <xdr:nvSpPr>
        <xdr:cNvPr id="46" name="Up Arrow 45"/>
        <xdr:cNvSpPr/>
      </xdr:nvSpPr>
      <xdr:spPr>
        <a:xfrm>
          <a:off x="2170005" y="442037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2417</xdr:row>
      <xdr:rowOff>16935</xdr:rowOff>
    </xdr:from>
    <xdr:to>
      <xdr:col>3</xdr:col>
      <xdr:colOff>448732</xdr:colOff>
      <xdr:row>2418</xdr:row>
      <xdr:rowOff>25403</xdr:rowOff>
    </xdr:to>
    <xdr:sp macro="" textlink="">
      <xdr:nvSpPr>
        <xdr:cNvPr id="47" name="Up Arrow 46"/>
        <xdr:cNvSpPr/>
      </xdr:nvSpPr>
      <xdr:spPr>
        <a:xfrm>
          <a:off x="2170005" y="442037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2417</xdr:row>
      <xdr:rowOff>16935</xdr:rowOff>
    </xdr:from>
    <xdr:to>
      <xdr:col>3</xdr:col>
      <xdr:colOff>448732</xdr:colOff>
      <xdr:row>2418</xdr:row>
      <xdr:rowOff>25403</xdr:rowOff>
    </xdr:to>
    <xdr:sp macro="" textlink="">
      <xdr:nvSpPr>
        <xdr:cNvPr id="48" name="Up Arrow 47"/>
        <xdr:cNvSpPr/>
      </xdr:nvSpPr>
      <xdr:spPr>
        <a:xfrm>
          <a:off x="2170005" y="442037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2417</xdr:row>
      <xdr:rowOff>16935</xdr:rowOff>
    </xdr:from>
    <xdr:to>
      <xdr:col>3</xdr:col>
      <xdr:colOff>448732</xdr:colOff>
      <xdr:row>2418</xdr:row>
      <xdr:rowOff>25403</xdr:rowOff>
    </xdr:to>
    <xdr:sp macro="" textlink="">
      <xdr:nvSpPr>
        <xdr:cNvPr id="49" name="Up Arrow 48"/>
        <xdr:cNvSpPr/>
      </xdr:nvSpPr>
      <xdr:spPr>
        <a:xfrm>
          <a:off x="2170005" y="442037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2417</xdr:row>
      <xdr:rowOff>16935</xdr:rowOff>
    </xdr:from>
    <xdr:to>
      <xdr:col>3</xdr:col>
      <xdr:colOff>448732</xdr:colOff>
      <xdr:row>2418</xdr:row>
      <xdr:rowOff>25403</xdr:rowOff>
    </xdr:to>
    <xdr:sp macro="" textlink="">
      <xdr:nvSpPr>
        <xdr:cNvPr id="50" name="Up Arrow 49"/>
        <xdr:cNvSpPr/>
      </xdr:nvSpPr>
      <xdr:spPr>
        <a:xfrm>
          <a:off x="2170005" y="442037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2450</xdr:row>
      <xdr:rowOff>93138</xdr:rowOff>
    </xdr:from>
    <xdr:to>
      <xdr:col>3</xdr:col>
      <xdr:colOff>448732</xdr:colOff>
      <xdr:row>2451</xdr:row>
      <xdr:rowOff>101606</xdr:rowOff>
    </xdr:to>
    <xdr:sp macro="" textlink="">
      <xdr:nvSpPr>
        <xdr:cNvPr id="51" name="Up Arrow 50"/>
        <xdr:cNvSpPr/>
      </xdr:nvSpPr>
      <xdr:spPr>
        <a:xfrm>
          <a:off x="2170005" y="4481491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2483</xdr:row>
      <xdr:rowOff>93138</xdr:rowOff>
    </xdr:from>
    <xdr:to>
      <xdr:col>3</xdr:col>
      <xdr:colOff>448732</xdr:colOff>
      <xdr:row>2484</xdr:row>
      <xdr:rowOff>101606</xdr:rowOff>
    </xdr:to>
    <xdr:sp macro="" textlink="">
      <xdr:nvSpPr>
        <xdr:cNvPr id="52" name="Up Arrow 51"/>
        <xdr:cNvSpPr/>
      </xdr:nvSpPr>
      <xdr:spPr>
        <a:xfrm>
          <a:off x="2170005" y="4541841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2516</xdr:row>
      <xdr:rowOff>93138</xdr:rowOff>
    </xdr:from>
    <xdr:to>
      <xdr:col>3</xdr:col>
      <xdr:colOff>448732</xdr:colOff>
      <xdr:row>2517</xdr:row>
      <xdr:rowOff>101606</xdr:rowOff>
    </xdr:to>
    <xdr:sp macro="" textlink="">
      <xdr:nvSpPr>
        <xdr:cNvPr id="53" name="Up Arrow 52"/>
        <xdr:cNvSpPr/>
      </xdr:nvSpPr>
      <xdr:spPr>
        <a:xfrm>
          <a:off x="2170005" y="4602192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2516</xdr:row>
      <xdr:rowOff>77895</xdr:rowOff>
    </xdr:from>
    <xdr:to>
      <xdr:col>3</xdr:col>
      <xdr:colOff>448732</xdr:colOff>
      <xdr:row>2517</xdr:row>
      <xdr:rowOff>86363</xdr:rowOff>
    </xdr:to>
    <xdr:sp macro="" textlink="">
      <xdr:nvSpPr>
        <xdr:cNvPr id="54" name="Up Arrow 53"/>
        <xdr:cNvSpPr/>
      </xdr:nvSpPr>
      <xdr:spPr>
        <a:xfrm>
          <a:off x="2170005" y="46020397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2550</xdr:row>
      <xdr:rowOff>93138</xdr:rowOff>
    </xdr:from>
    <xdr:to>
      <xdr:col>3</xdr:col>
      <xdr:colOff>448732</xdr:colOff>
      <xdr:row>2551</xdr:row>
      <xdr:rowOff>101606</xdr:rowOff>
    </xdr:to>
    <xdr:sp macro="" textlink="">
      <xdr:nvSpPr>
        <xdr:cNvPr id="55" name="Up Arrow 54"/>
        <xdr:cNvSpPr/>
      </xdr:nvSpPr>
      <xdr:spPr>
        <a:xfrm>
          <a:off x="1933785" y="4664371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2550</xdr:row>
      <xdr:rowOff>77895</xdr:rowOff>
    </xdr:from>
    <xdr:to>
      <xdr:col>3</xdr:col>
      <xdr:colOff>448732</xdr:colOff>
      <xdr:row>2551</xdr:row>
      <xdr:rowOff>86363</xdr:rowOff>
    </xdr:to>
    <xdr:sp macro="" textlink="">
      <xdr:nvSpPr>
        <xdr:cNvPr id="56" name="Up Arrow 55"/>
        <xdr:cNvSpPr/>
      </xdr:nvSpPr>
      <xdr:spPr>
        <a:xfrm>
          <a:off x="1933785" y="466421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2550</xdr:row>
      <xdr:rowOff>77895</xdr:rowOff>
    </xdr:from>
    <xdr:to>
      <xdr:col>3</xdr:col>
      <xdr:colOff>448732</xdr:colOff>
      <xdr:row>2551</xdr:row>
      <xdr:rowOff>86363</xdr:rowOff>
    </xdr:to>
    <xdr:sp macro="" textlink="">
      <xdr:nvSpPr>
        <xdr:cNvPr id="57" name="Up Arrow 56"/>
        <xdr:cNvSpPr/>
      </xdr:nvSpPr>
      <xdr:spPr>
        <a:xfrm>
          <a:off x="1933785" y="466421895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2584</xdr:row>
      <xdr:rowOff>93138</xdr:rowOff>
    </xdr:from>
    <xdr:to>
      <xdr:col>3</xdr:col>
      <xdr:colOff>448732</xdr:colOff>
      <xdr:row>2585</xdr:row>
      <xdr:rowOff>101606</xdr:rowOff>
    </xdr:to>
    <xdr:sp macro="" textlink="">
      <xdr:nvSpPr>
        <xdr:cNvPr id="58" name="Up Arrow 57"/>
        <xdr:cNvSpPr/>
      </xdr:nvSpPr>
      <xdr:spPr>
        <a:xfrm>
          <a:off x="1933785" y="4726550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2618</xdr:row>
      <xdr:rowOff>93138</xdr:rowOff>
    </xdr:from>
    <xdr:to>
      <xdr:col>3</xdr:col>
      <xdr:colOff>448732</xdr:colOff>
      <xdr:row>2619</xdr:row>
      <xdr:rowOff>101606</xdr:rowOff>
    </xdr:to>
    <xdr:sp macro="" textlink="">
      <xdr:nvSpPr>
        <xdr:cNvPr id="59" name="Up Arrow 58"/>
        <xdr:cNvSpPr/>
      </xdr:nvSpPr>
      <xdr:spPr>
        <a:xfrm>
          <a:off x="1933785" y="4788729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2652</xdr:row>
      <xdr:rowOff>93138</xdr:rowOff>
    </xdr:from>
    <xdr:to>
      <xdr:col>3</xdr:col>
      <xdr:colOff>448732</xdr:colOff>
      <xdr:row>2653</xdr:row>
      <xdr:rowOff>101606</xdr:rowOff>
    </xdr:to>
    <xdr:sp macro="" textlink="">
      <xdr:nvSpPr>
        <xdr:cNvPr id="60" name="Up Arrow 59"/>
        <xdr:cNvSpPr/>
      </xdr:nvSpPr>
      <xdr:spPr>
        <a:xfrm>
          <a:off x="1933785" y="4850908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2686</xdr:row>
      <xdr:rowOff>93138</xdr:rowOff>
    </xdr:from>
    <xdr:to>
      <xdr:col>3</xdr:col>
      <xdr:colOff>448732</xdr:colOff>
      <xdr:row>2687</xdr:row>
      <xdr:rowOff>101606</xdr:rowOff>
    </xdr:to>
    <xdr:sp macro="" textlink="">
      <xdr:nvSpPr>
        <xdr:cNvPr id="61" name="Up Arrow 60"/>
        <xdr:cNvSpPr/>
      </xdr:nvSpPr>
      <xdr:spPr>
        <a:xfrm>
          <a:off x="1933785" y="4913088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2720</xdr:row>
      <xdr:rowOff>93138</xdr:rowOff>
    </xdr:from>
    <xdr:to>
      <xdr:col>3</xdr:col>
      <xdr:colOff>448732</xdr:colOff>
      <xdr:row>2721</xdr:row>
      <xdr:rowOff>101606</xdr:rowOff>
    </xdr:to>
    <xdr:sp macro="" textlink="">
      <xdr:nvSpPr>
        <xdr:cNvPr id="62" name="Up Arrow 61"/>
        <xdr:cNvSpPr/>
      </xdr:nvSpPr>
      <xdr:spPr>
        <a:xfrm>
          <a:off x="1933785" y="4975267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2754</xdr:row>
      <xdr:rowOff>93138</xdr:rowOff>
    </xdr:from>
    <xdr:to>
      <xdr:col>3</xdr:col>
      <xdr:colOff>448732</xdr:colOff>
      <xdr:row>2755</xdr:row>
      <xdr:rowOff>101606</xdr:rowOff>
    </xdr:to>
    <xdr:sp macro="" textlink="">
      <xdr:nvSpPr>
        <xdr:cNvPr id="63" name="Up Arrow 62"/>
        <xdr:cNvSpPr/>
      </xdr:nvSpPr>
      <xdr:spPr>
        <a:xfrm>
          <a:off x="1933785" y="5037446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2788</xdr:row>
      <xdr:rowOff>93138</xdr:rowOff>
    </xdr:from>
    <xdr:to>
      <xdr:col>3</xdr:col>
      <xdr:colOff>448732</xdr:colOff>
      <xdr:row>2789</xdr:row>
      <xdr:rowOff>101606</xdr:rowOff>
    </xdr:to>
    <xdr:sp macro="" textlink="">
      <xdr:nvSpPr>
        <xdr:cNvPr id="64" name="Up Arrow 63"/>
        <xdr:cNvSpPr/>
      </xdr:nvSpPr>
      <xdr:spPr>
        <a:xfrm>
          <a:off x="1933785" y="5099625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2822</xdr:row>
      <xdr:rowOff>93138</xdr:rowOff>
    </xdr:from>
    <xdr:to>
      <xdr:col>3</xdr:col>
      <xdr:colOff>448732</xdr:colOff>
      <xdr:row>2823</xdr:row>
      <xdr:rowOff>101606</xdr:rowOff>
    </xdr:to>
    <xdr:sp macro="" textlink="">
      <xdr:nvSpPr>
        <xdr:cNvPr id="65" name="Up Arrow 64"/>
        <xdr:cNvSpPr/>
      </xdr:nvSpPr>
      <xdr:spPr>
        <a:xfrm>
          <a:off x="1933785" y="5161804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2856</xdr:row>
      <xdr:rowOff>93138</xdr:rowOff>
    </xdr:from>
    <xdr:to>
      <xdr:col>3</xdr:col>
      <xdr:colOff>448732</xdr:colOff>
      <xdr:row>2857</xdr:row>
      <xdr:rowOff>101606</xdr:rowOff>
    </xdr:to>
    <xdr:sp macro="" textlink="">
      <xdr:nvSpPr>
        <xdr:cNvPr id="66" name="Up Arrow 65"/>
        <xdr:cNvSpPr/>
      </xdr:nvSpPr>
      <xdr:spPr>
        <a:xfrm>
          <a:off x="1933785" y="5223984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2890</xdr:row>
      <xdr:rowOff>93138</xdr:rowOff>
    </xdr:from>
    <xdr:to>
      <xdr:col>3</xdr:col>
      <xdr:colOff>448732</xdr:colOff>
      <xdr:row>2891</xdr:row>
      <xdr:rowOff>101606</xdr:rowOff>
    </xdr:to>
    <xdr:sp macro="" textlink="">
      <xdr:nvSpPr>
        <xdr:cNvPr id="67" name="Up Arrow 66"/>
        <xdr:cNvSpPr/>
      </xdr:nvSpPr>
      <xdr:spPr>
        <a:xfrm>
          <a:off x="1933785" y="5286163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2924</xdr:row>
      <xdr:rowOff>93138</xdr:rowOff>
    </xdr:from>
    <xdr:to>
      <xdr:col>3</xdr:col>
      <xdr:colOff>448732</xdr:colOff>
      <xdr:row>2925</xdr:row>
      <xdr:rowOff>101606</xdr:rowOff>
    </xdr:to>
    <xdr:sp macro="" textlink="">
      <xdr:nvSpPr>
        <xdr:cNvPr id="68" name="Up Arrow 67"/>
        <xdr:cNvSpPr/>
      </xdr:nvSpPr>
      <xdr:spPr>
        <a:xfrm>
          <a:off x="1933785" y="5348342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2958</xdr:row>
      <xdr:rowOff>93138</xdr:rowOff>
    </xdr:from>
    <xdr:to>
      <xdr:col>3</xdr:col>
      <xdr:colOff>448732</xdr:colOff>
      <xdr:row>2959</xdr:row>
      <xdr:rowOff>101606</xdr:rowOff>
    </xdr:to>
    <xdr:sp macro="" textlink="">
      <xdr:nvSpPr>
        <xdr:cNvPr id="69" name="Up Arrow 68"/>
        <xdr:cNvSpPr/>
      </xdr:nvSpPr>
      <xdr:spPr>
        <a:xfrm>
          <a:off x="1933785" y="5410521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2958</xdr:row>
      <xdr:rowOff>93138</xdr:rowOff>
    </xdr:from>
    <xdr:to>
      <xdr:col>3</xdr:col>
      <xdr:colOff>448732</xdr:colOff>
      <xdr:row>2959</xdr:row>
      <xdr:rowOff>101606</xdr:rowOff>
    </xdr:to>
    <xdr:sp macro="" textlink="">
      <xdr:nvSpPr>
        <xdr:cNvPr id="70" name="Up Arrow 69"/>
        <xdr:cNvSpPr/>
      </xdr:nvSpPr>
      <xdr:spPr>
        <a:xfrm>
          <a:off x="1933785" y="5410521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2992</xdr:row>
      <xdr:rowOff>93138</xdr:rowOff>
    </xdr:from>
    <xdr:to>
      <xdr:col>3</xdr:col>
      <xdr:colOff>448732</xdr:colOff>
      <xdr:row>2993</xdr:row>
      <xdr:rowOff>101606</xdr:rowOff>
    </xdr:to>
    <xdr:sp macro="" textlink="">
      <xdr:nvSpPr>
        <xdr:cNvPr id="71" name="Up Arrow 70"/>
        <xdr:cNvSpPr/>
      </xdr:nvSpPr>
      <xdr:spPr>
        <a:xfrm>
          <a:off x="1933785" y="5472700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2992</xdr:row>
      <xdr:rowOff>93138</xdr:rowOff>
    </xdr:from>
    <xdr:to>
      <xdr:col>3</xdr:col>
      <xdr:colOff>448732</xdr:colOff>
      <xdr:row>2993</xdr:row>
      <xdr:rowOff>101606</xdr:rowOff>
    </xdr:to>
    <xdr:sp macro="" textlink="">
      <xdr:nvSpPr>
        <xdr:cNvPr id="72" name="Up Arrow 71"/>
        <xdr:cNvSpPr/>
      </xdr:nvSpPr>
      <xdr:spPr>
        <a:xfrm>
          <a:off x="1933785" y="5472700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2992</xdr:row>
      <xdr:rowOff>93138</xdr:rowOff>
    </xdr:from>
    <xdr:to>
      <xdr:col>3</xdr:col>
      <xdr:colOff>448732</xdr:colOff>
      <xdr:row>2993</xdr:row>
      <xdr:rowOff>101606</xdr:rowOff>
    </xdr:to>
    <xdr:sp macro="" textlink="">
      <xdr:nvSpPr>
        <xdr:cNvPr id="73" name="Up Arrow 72"/>
        <xdr:cNvSpPr/>
      </xdr:nvSpPr>
      <xdr:spPr>
        <a:xfrm>
          <a:off x="1933785" y="5472700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3026</xdr:row>
      <xdr:rowOff>93138</xdr:rowOff>
    </xdr:from>
    <xdr:to>
      <xdr:col>3</xdr:col>
      <xdr:colOff>448732</xdr:colOff>
      <xdr:row>3027</xdr:row>
      <xdr:rowOff>101606</xdr:rowOff>
    </xdr:to>
    <xdr:sp macro="" textlink="">
      <xdr:nvSpPr>
        <xdr:cNvPr id="74" name="Up Arrow 73"/>
        <xdr:cNvSpPr/>
      </xdr:nvSpPr>
      <xdr:spPr>
        <a:xfrm>
          <a:off x="1933785" y="5534880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3026</xdr:row>
      <xdr:rowOff>93138</xdr:rowOff>
    </xdr:from>
    <xdr:to>
      <xdr:col>3</xdr:col>
      <xdr:colOff>448732</xdr:colOff>
      <xdr:row>3027</xdr:row>
      <xdr:rowOff>101606</xdr:rowOff>
    </xdr:to>
    <xdr:sp macro="" textlink="">
      <xdr:nvSpPr>
        <xdr:cNvPr id="75" name="Up Arrow 74"/>
        <xdr:cNvSpPr/>
      </xdr:nvSpPr>
      <xdr:spPr>
        <a:xfrm>
          <a:off x="1933785" y="5534880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3026</xdr:row>
      <xdr:rowOff>93138</xdr:rowOff>
    </xdr:from>
    <xdr:to>
      <xdr:col>3</xdr:col>
      <xdr:colOff>448732</xdr:colOff>
      <xdr:row>3027</xdr:row>
      <xdr:rowOff>101606</xdr:rowOff>
    </xdr:to>
    <xdr:sp macro="" textlink="">
      <xdr:nvSpPr>
        <xdr:cNvPr id="76" name="Up Arrow 75"/>
        <xdr:cNvSpPr/>
      </xdr:nvSpPr>
      <xdr:spPr>
        <a:xfrm>
          <a:off x="1933785" y="5534880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3026</xdr:row>
      <xdr:rowOff>93138</xdr:rowOff>
    </xdr:from>
    <xdr:to>
      <xdr:col>3</xdr:col>
      <xdr:colOff>448732</xdr:colOff>
      <xdr:row>3027</xdr:row>
      <xdr:rowOff>101606</xdr:rowOff>
    </xdr:to>
    <xdr:sp macro="" textlink="">
      <xdr:nvSpPr>
        <xdr:cNvPr id="77" name="Up Arrow 76"/>
        <xdr:cNvSpPr/>
      </xdr:nvSpPr>
      <xdr:spPr>
        <a:xfrm>
          <a:off x="1933785" y="55348801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3060</xdr:row>
      <xdr:rowOff>93138</xdr:rowOff>
    </xdr:from>
    <xdr:to>
      <xdr:col>3</xdr:col>
      <xdr:colOff>448732</xdr:colOff>
      <xdr:row>3061</xdr:row>
      <xdr:rowOff>101606</xdr:rowOff>
    </xdr:to>
    <xdr:sp macro="" textlink="">
      <xdr:nvSpPr>
        <xdr:cNvPr id="78" name="Up Arrow 77"/>
        <xdr:cNvSpPr/>
      </xdr:nvSpPr>
      <xdr:spPr>
        <a:xfrm>
          <a:off x="1933785" y="5597059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3060</xdr:row>
      <xdr:rowOff>93138</xdr:rowOff>
    </xdr:from>
    <xdr:to>
      <xdr:col>3</xdr:col>
      <xdr:colOff>448732</xdr:colOff>
      <xdr:row>3061</xdr:row>
      <xdr:rowOff>101606</xdr:rowOff>
    </xdr:to>
    <xdr:sp macro="" textlink="">
      <xdr:nvSpPr>
        <xdr:cNvPr id="79" name="Up Arrow 78"/>
        <xdr:cNvSpPr/>
      </xdr:nvSpPr>
      <xdr:spPr>
        <a:xfrm>
          <a:off x="1933785" y="5597059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3060</xdr:row>
      <xdr:rowOff>93138</xdr:rowOff>
    </xdr:from>
    <xdr:to>
      <xdr:col>3</xdr:col>
      <xdr:colOff>448732</xdr:colOff>
      <xdr:row>3061</xdr:row>
      <xdr:rowOff>101606</xdr:rowOff>
    </xdr:to>
    <xdr:sp macro="" textlink="">
      <xdr:nvSpPr>
        <xdr:cNvPr id="80" name="Up Arrow 79"/>
        <xdr:cNvSpPr/>
      </xdr:nvSpPr>
      <xdr:spPr>
        <a:xfrm>
          <a:off x="1933785" y="5597059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3060</xdr:row>
      <xdr:rowOff>93138</xdr:rowOff>
    </xdr:from>
    <xdr:to>
      <xdr:col>3</xdr:col>
      <xdr:colOff>448732</xdr:colOff>
      <xdr:row>3061</xdr:row>
      <xdr:rowOff>101606</xdr:rowOff>
    </xdr:to>
    <xdr:sp macro="" textlink="">
      <xdr:nvSpPr>
        <xdr:cNvPr id="81" name="Up Arrow 80"/>
        <xdr:cNvSpPr/>
      </xdr:nvSpPr>
      <xdr:spPr>
        <a:xfrm>
          <a:off x="1933785" y="5597059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3060</xdr:row>
      <xdr:rowOff>93138</xdr:rowOff>
    </xdr:from>
    <xdr:to>
      <xdr:col>3</xdr:col>
      <xdr:colOff>448732</xdr:colOff>
      <xdr:row>3061</xdr:row>
      <xdr:rowOff>101606</xdr:rowOff>
    </xdr:to>
    <xdr:sp macro="" textlink="">
      <xdr:nvSpPr>
        <xdr:cNvPr id="82" name="Up Arrow 81"/>
        <xdr:cNvSpPr/>
      </xdr:nvSpPr>
      <xdr:spPr>
        <a:xfrm>
          <a:off x="1933785" y="55970593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3094</xdr:row>
      <xdr:rowOff>93138</xdr:rowOff>
    </xdr:from>
    <xdr:to>
      <xdr:col>3</xdr:col>
      <xdr:colOff>448732</xdr:colOff>
      <xdr:row>3095</xdr:row>
      <xdr:rowOff>101606</xdr:rowOff>
    </xdr:to>
    <xdr:sp macro="" textlink="">
      <xdr:nvSpPr>
        <xdr:cNvPr id="83" name="Up Arrow 82"/>
        <xdr:cNvSpPr/>
      </xdr:nvSpPr>
      <xdr:spPr>
        <a:xfrm>
          <a:off x="1933785" y="5659238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3094</xdr:row>
      <xdr:rowOff>93138</xdr:rowOff>
    </xdr:from>
    <xdr:to>
      <xdr:col>3</xdr:col>
      <xdr:colOff>448732</xdr:colOff>
      <xdr:row>3095</xdr:row>
      <xdr:rowOff>101606</xdr:rowOff>
    </xdr:to>
    <xdr:sp macro="" textlink="">
      <xdr:nvSpPr>
        <xdr:cNvPr id="84" name="Up Arrow 83"/>
        <xdr:cNvSpPr/>
      </xdr:nvSpPr>
      <xdr:spPr>
        <a:xfrm>
          <a:off x="1933785" y="5659238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3094</xdr:row>
      <xdr:rowOff>93138</xdr:rowOff>
    </xdr:from>
    <xdr:to>
      <xdr:col>3</xdr:col>
      <xdr:colOff>448732</xdr:colOff>
      <xdr:row>3095</xdr:row>
      <xdr:rowOff>101606</xdr:rowOff>
    </xdr:to>
    <xdr:sp macro="" textlink="">
      <xdr:nvSpPr>
        <xdr:cNvPr id="85" name="Up Arrow 84"/>
        <xdr:cNvSpPr/>
      </xdr:nvSpPr>
      <xdr:spPr>
        <a:xfrm>
          <a:off x="1933785" y="5659238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3094</xdr:row>
      <xdr:rowOff>93138</xdr:rowOff>
    </xdr:from>
    <xdr:to>
      <xdr:col>3</xdr:col>
      <xdr:colOff>448732</xdr:colOff>
      <xdr:row>3095</xdr:row>
      <xdr:rowOff>101606</xdr:rowOff>
    </xdr:to>
    <xdr:sp macro="" textlink="">
      <xdr:nvSpPr>
        <xdr:cNvPr id="86" name="Up Arrow 85"/>
        <xdr:cNvSpPr/>
      </xdr:nvSpPr>
      <xdr:spPr>
        <a:xfrm>
          <a:off x="1933785" y="5659238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3094</xdr:row>
      <xdr:rowOff>93138</xdr:rowOff>
    </xdr:from>
    <xdr:to>
      <xdr:col>3</xdr:col>
      <xdr:colOff>448732</xdr:colOff>
      <xdr:row>3095</xdr:row>
      <xdr:rowOff>101606</xdr:rowOff>
    </xdr:to>
    <xdr:sp macro="" textlink="">
      <xdr:nvSpPr>
        <xdr:cNvPr id="87" name="Up Arrow 86"/>
        <xdr:cNvSpPr/>
      </xdr:nvSpPr>
      <xdr:spPr>
        <a:xfrm>
          <a:off x="1933785" y="5659238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3094</xdr:row>
      <xdr:rowOff>93138</xdr:rowOff>
    </xdr:from>
    <xdr:to>
      <xdr:col>3</xdr:col>
      <xdr:colOff>448732</xdr:colOff>
      <xdr:row>3095</xdr:row>
      <xdr:rowOff>101606</xdr:rowOff>
    </xdr:to>
    <xdr:sp macro="" textlink="">
      <xdr:nvSpPr>
        <xdr:cNvPr id="88" name="Up Arrow 87"/>
        <xdr:cNvSpPr/>
      </xdr:nvSpPr>
      <xdr:spPr>
        <a:xfrm>
          <a:off x="1933785" y="56592385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89" name="Up Arrow 88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90" name="Up Arrow 89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91" name="Up Arrow 90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92" name="Up Arrow 91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93" name="Up Arrow 92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94" name="Up Arrow 93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3128</xdr:row>
      <xdr:rowOff>93138</xdr:rowOff>
    </xdr:from>
    <xdr:to>
      <xdr:col>3</xdr:col>
      <xdr:colOff>448732</xdr:colOff>
      <xdr:row>3129</xdr:row>
      <xdr:rowOff>101606</xdr:rowOff>
    </xdr:to>
    <xdr:sp macro="" textlink="">
      <xdr:nvSpPr>
        <xdr:cNvPr id="95" name="Up Arrow 94"/>
        <xdr:cNvSpPr/>
      </xdr:nvSpPr>
      <xdr:spPr>
        <a:xfrm>
          <a:off x="1933785" y="57214177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96" name="Up Arrow 95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97" name="Up Arrow 96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98" name="Up Arrow 97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99" name="Up Arrow 98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100" name="Up Arrow 99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101" name="Up Arrow 100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102" name="Up Arrow 101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211665</xdr:colOff>
      <xdr:row>3162</xdr:row>
      <xdr:rowOff>93138</xdr:rowOff>
    </xdr:from>
    <xdr:to>
      <xdr:col>3</xdr:col>
      <xdr:colOff>448732</xdr:colOff>
      <xdr:row>3163</xdr:row>
      <xdr:rowOff>101606</xdr:rowOff>
    </xdr:to>
    <xdr:sp macro="" textlink="">
      <xdr:nvSpPr>
        <xdr:cNvPr id="103" name="Up Arrow 102"/>
        <xdr:cNvSpPr/>
      </xdr:nvSpPr>
      <xdr:spPr>
        <a:xfrm>
          <a:off x="1933785" y="578359698"/>
          <a:ext cx="237067" cy="191348"/>
        </a:xfrm>
        <a:prstGeom prst="upArrow">
          <a:avLst/>
        </a:prstGeom>
        <a:solidFill>
          <a:srgbClr val="00B05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8"/>
  <sheetViews>
    <sheetView tabSelected="1" workbookViewId="0">
      <selection activeCell="F13" sqref="F13"/>
    </sheetView>
  </sheetViews>
  <sheetFormatPr defaultRowHeight="14.4" x14ac:dyDescent="0.3"/>
  <cols>
    <col min="3" max="3" width="12.5546875" bestFit="1" customWidth="1"/>
    <col min="5" max="5" width="8.5546875" bestFit="1" customWidth="1"/>
    <col min="6" max="6" width="12.33203125" customWidth="1"/>
    <col min="7" max="7" width="11.6640625" bestFit="1" customWidth="1"/>
    <col min="8" max="8" width="9.5546875" bestFit="1" customWidth="1"/>
    <col min="10" max="10" width="11.6640625" bestFit="1" customWidth="1"/>
    <col min="11" max="12" width="8.5546875" bestFit="1" customWidth="1"/>
    <col min="14" max="14" width="9.5546875" bestFit="1" customWidth="1"/>
  </cols>
  <sheetData>
    <row r="3" spans="4:10" x14ac:dyDescent="0.3">
      <c r="D3" s="124" t="s">
        <v>65</v>
      </c>
      <c r="E3" s="124"/>
      <c r="F3" s="124"/>
      <c r="G3" s="24"/>
    </row>
    <row r="4" spans="4:10" x14ac:dyDescent="0.3">
      <c r="D4" s="25" t="s">
        <v>44</v>
      </c>
      <c r="E4" s="26" t="s">
        <v>138</v>
      </c>
      <c r="F4" s="13">
        <v>104463.7500000002</v>
      </c>
    </row>
    <row r="5" spans="4:10" x14ac:dyDescent="0.3">
      <c r="D5" s="27" t="s">
        <v>45</v>
      </c>
      <c r="E5" s="26" t="s">
        <v>138</v>
      </c>
      <c r="F5" s="13">
        <v>207864.50000000006</v>
      </c>
    </row>
    <row r="6" spans="4:10" x14ac:dyDescent="0.3">
      <c r="D6" s="27" t="s">
        <v>46</v>
      </c>
      <c r="E6" s="26" t="s">
        <v>138</v>
      </c>
      <c r="F6" s="13">
        <v>106914.24999999997</v>
      </c>
    </row>
    <row r="7" spans="4:10" x14ac:dyDescent="0.3">
      <c r="D7" s="27" t="s">
        <v>47</v>
      </c>
      <c r="E7" s="26" t="s">
        <v>138</v>
      </c>
      <c r="F7" s="13">
        <v>85231.500000000102</v>
      </c>
    </row>
    <row r="8" spans="4:10" x14ac:dyDescent="0.3">
      <c r="D8" s="27" t="s">
        <v>48</v>
      </c>
      <c r="E8" s="26" t="s">
        <v>138</v>
      </c>
      <c r="F8" s="13">
        <v>164302.75000000006</v>
      </c>
    </row>
    <row r="11" spans="4:10" x14ac:dyDescent="0.3">
      <c r="D11" s="124" t="s">
        <v>65</v>
      </c>
      <c r="E11" s="124"/>
      <c r="F11" s="124"/>
      <c r="H11" s="124" t="s">
        <v>66</v>
      </c>
      <c r="I11" s="124"/>
      <c r="J11" s="124"/>
    </row>
    <row r="12" spans="4:10" x14ac:dyDescent="0.3">
      <c r="D12" s="27" t="s">
        <v>49</v>
      </c>
      <c r="E12" s="26" t="s">
        <v>138</v>
      </c>
      <c r="F12" s="13">
        <v>-34943.749999999724</v>
      </c>
      <c r="H12" s="27" t="s">
        <v>49</v>
      </c>
      <c r="I12" s="30">
        <v>21187.5</v>
      </c>
      <c r="J12" s="30">
        <f>I12*2</f>
        <v>42375</v>
      </c>
    </row>
    <row r="13" spans="4:10" x14ac:dyDescent="0.3">
      <c r="D13" s="27" t="s">
        <v>50</v>
      </c>
      <c r="E13" s="26" t="s">
        <v>138</v>
      </c>
      <c r="F13" s="13">
        <v>143734.99999999991</v>
      </c>
      <c r="H13" s="27" t="s">
        <v>50</v>
      </c>
      <c r="I13" s="30">
        <v>12828.75</v>
      </c>
      <c r="J13" s="30">
        <f t="shared" ref="J13:J16" si="0">I13*2</f>
        <v>25657.5</v>
      </c>
    </row>
    <row r="14" spans="4:10" x14ac:dyDescent="0.3">
      <c r="D14" s="27" t="s">
        <v>51</v>
      </c>
      <c r="E14" s="26" t="s">
        <v>138</v>
      </c>
      <c r="F14" s="13">
        <v>-75180.000000000218</v>
      </c>
      <c r="H14" s="27" t="s">
        <v>51</v>
      </c>
      <c r="I14" s="30">
        <v>26827.5</v>
      </c>
      <c r="J14" s="30">
        <f t="shared" si="0"/>
        <v>53655</v>
      </c>
    </row>
    <row r="15" spans="4:10" x14ac:dyDescent="0.3">
      <c r="D15" s="25" t="s">
        <v>64</v>
      </c>
      <c r="E15" s="26" t="s">
        <v>138</v>
      </c>
      <c r="F15" s="13">
        <v>-72454.999999999782</v>
      </c>
      <c r="H15" s="25" t="s">
        <v>64</v>
      </c>
      <c r="I15" s="30">
        <v>15757.5</v>
      </c>
      <c r="J15" s="30">
        <f t="shared" si="0"/>
        <v>31515</v>
      </c>
    </row>
    <row r="16" spans="4:10" x14ac:dyDescent="0.3">
      <c r="D16" s="25" t="s">
        <v>124</v>
      </c>
      <c r="E16" s="26" t="s">
        <v>138</v>
      </c>
      <c r="F16" s="13">
        <v>98197.5</v>
      </c>
      <c r="H16" s="25" t="s">
        <v>124</v>
      </c>
      <c r="I16" s="30">
        <v>1908.75</v>
      </c>
      <c r="J16" s="30">
        <f t="shared" si="0"/>
        <v>3817.5</v>
      </c>
    </row>
    <row r="18" spans="4:11" x14ac:dyDescent="0.3">
      <c r="D18" s="125" t="s">
        <v>19</v>
      </c>
      <c r="E18" s="126"/>
      <c r="F18" s="12">
        <f>SUM(F12:F16)</f>
        <v>59353.750000000189</v>
      </c>
      <c r="H18" s="125" t="s">
        <v>19</v>
      </c>
      <c r="I18" s="126"/>
      <c r="J18" s="12">
        <f>SUM(J12:J16)</f>
        <v>157020</v>
      </c>
      <c r="K18" s="40">
        <f>(100/200000)*J18</f>
        <v>78.510000000000005</v>
      </c>
    </row>
  </sheetData>
  <mergeCells count="5">
    <mergeCell ref="D3:F3"/>
    <mergeCell ref="H11:J11"/>
    <mergeCell ref="D18:E18"/>
    <mergeCell ref="H18:I18"/>
    <mergeCell ref="D11:F11"/>
  </mergeCells>
  <conditionalFormatting sqref="F4:F8">
    <cfRule type="cellIs" dxfId="293" priority="61" operator="lessThan">
      <formula>0</formula>
    </cfRule>
    <cfRule type="cellIs" dxfId="292" priority="62" operator="greaterThan">
      <formula>0</formula>
    </cfRule>
    <cfRule type="cellIs" dxfId="291" priority="63" operator="lessThan">
      <formula>0</formula>
    </cfRule>
  </conditionalFormatting>
  <conditionalFormatting sqref="F4:F8">
    <cfRule type="cellIs" dxfId="290" priority="58" operator="lessThan">
      <formula>0</formula>
    </cfRule>
    <cfRule type="cellIs" dxfId="289" priority="59" operator="greaterThan">
      <formula>0</formula>
    </cfRule>
    <cfRule type="cellIs" dxfId="288" priority="60" operator="lessThan">
      <formula>0</formula>
    </cfRule>
  </conditionalFormatting>
  <conditionalFormatting sqref="F13">
    <cfRule type="cellIs" dxfId="287" priority="37" operator="lessThan">
      <formula>0</formula>
    </cfRule>
    <cfRule type="cellIs" dxfId="286" priority="38" operator="greaterThan">
      <formula>0</formula>
    </cfRule>
    <cfRule type="cellIs" dxfId="285" priority="39" operator="lessThan">
      <formula>0</formula>
    </cfRule>
  </conditionalFormatting>
  <conditionalFormatting sqref="F14">
    <cfRule type="cellIs" dxfId="284" priority="34" operator="lessThan">
      <formula>0</formula>
    </cfRule>
    <cfRule type="cellIs" dxfId="283" priority="35" operator="greaterThan">
      <formula>0</formula>
    </cfRule>
    <cfRule type="cellIs" dxfId="282" priority="36" operator="lessThan">
      <formula>0</formula>
    </cfRule>
  </conditionalFormatting>
  <conditionalFormatting sqref="F12">
    <cfRule type="cellIs" dxfId="281" priority="40" operator="lessThan">
      <formula>0</formula>
    </cfRule>
    <cfRule type="cellIs" dxfId="280" priority="41" operator="greaterThan">
      <formula>0</formula>
    </cfRule>
    <cfRule type="cellIs" dxfId="279" priority="42" operator="lessThan">
      <formula>0</formula>
    </cfRule>
  </conditionalFormatting>
  <conditionalFormatting sqref="F18">
    <cfRule type="cellIs" dxfId="278" priority="4" operator="lessThan">
      <formula>0</formula>
    </cfRule>
    <cfRule type="cellIs" dxfId="277" priority="5" operator="greaterThan">
      <formula>0</formula>
    </cfRule>
    <cfRule type="cellIs" dxfId="276" priority="6" operator="lessThan">
      <formula>0</formula>
    </cfRule>
  </conditionalFormatting>
  <conditionalFormatting sqref="F15">
    <cfRule type="cellIs" dxfId="275" priority="28" operator="lessThan">
      <formula>0</formula>
    </cfRule>
    <cfRule type="cellIs" dxfId="274" priority="29" operator="greaterThan">
      <formula>0</formula>
    </cfRule>
    <cfRule type="cellIs" dxfId="273" priority="30" operator="lessThan">
      <formula>0</formula>
    </cfRule>
  </conditionalFormatting>
  <conditionalFormatting sqref="J18">
    <cfRule type="cellIs" dxfId="272" priority="25" operator="lessThan">
      <formula>0</formula>
    </cfRule>
    <cfRule type="cellIs" dxfId="271" priority="26" operator="greaterThan">
      <formula>0</formula>
    </cfRule>
    <cfRule type="cellIs" dxfId="270" priority="27" operator="lessThan">
      <formula>0</formula>
    </cfRule>
  </conditionalFormatting>
  <conditionalFormatting sqref="J18">
    <cfRule type="cellIs" dxfId="269" priority="22" operator="lessThan">
      <formula>0</formula>
    </cfRule>
    <cfRule type="cellIs" dxfId="268" priority="23" operator="greaterThan">
      <formula>0</formula>
    </cfRule>
    <cfRule type="cellIs" dxfId="267" priority="24" operator="lessThan">
      <formula>0</formula>
    </cfRule>
  </conditionalFormatting>
  <conditionalFormatting sqref="F18">
    <cfRule type="cellIs" dxfId="266" priority="7" operator="lessThan">
      <formula>0</formula>
    </cfRule>
    <cfRule type="cellIs" dxfId="265" priority="8" operator="greaterThan">
      <formula>0</formula>
    </cfRule>
    <cfRule type="cellIs" dxfId="264" priority="9" operator="lessThan">
      <formula>0</formula>
    </cfRule>
  </conditionalFormatting>
  <conditionalFormatting sqref="F16">
    <cfRule type="cellIs" dxfId="263" priority="1" operator="lessThan">
      <formula>0</formula>
    </cfRule>
    <cfRule type="cellIs" dxfId="262" priority="2" operator="greaterThan">
      <formula>0</formula>
    </cfRule>
    <cfRule type="cellIs" dxfId="261" priority="3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322"/>
  <sheetViews>
    <sheetView topLeftCell="A299" zoomScale="90" zoomScaleNormal="90" workbookViewId="0">
      <selection activeCell="B305" sqref="B305"/>
    </sheetView>
  </sheetViews>
  <sheetFormatPr defaultRowHeight="14.4" x14ac:dyDescent="0.3"/>
  <cols>
    <col min="1" max="1" width="6.21875" customWidth="1"/>
    <col min="2" max="2" width="12.6640625" bestFit="1" customWidth="1"/>
    <col min="3" max="3" width="8.21875" bestFit="1" customWidth="1"/>
    <col min="4" max="4" width="11.5546875" bestFit="1" customWidth="1"/>
    <col min="5" max="5" width="11.88671875" bestFit="1" customWidth="1"/>
    <col min="6" max="6" width="11.5546875" bestFit="1" customWidth="1"/>
    <col min="7" max="7" width="14.88671875" bestFit="1" customWidth="1"/>
    <col min="8" max="9" width="11.33203125" bestFit="1" customWidth="1"/>
    <col min="10" max="10" width="12.6640625" bestFit="1" customWidth="1"/>
    <col min="11" max="11" width="4.77734375" bestFit="1" customWidth="1"/>
    <col min="12" max="12" width="12.6640625" bestFit="1" customWidth="1"/>
    <col min="13" max="13" width="8.21875" bestFit="1" customWidth="1"/>
    <col min="14" max="14" width="10.5546875" bestFit="1" customWidth="1"/>
    <col min="15" max="15" width="13.21875" bestFit="1" customWidth="1"/>
    <col min="16" max="16" width="10.33203125" bestFit="1" customWidth="1"/>
    <col min="17" max="17" width="13.21875" bestFit="1" customWidth="1"/>
    <col min="18" max="18" width="7.5546875" bestFit="1" customWidth="1"/>
    <col min="19" max="19" width="10.5546875" bestFit="1" customWidth="1"/>
    <col min="20" max="20" width="9.33203125" bestFit="1" customWidth="1"/>
    <col min="21" max="21" width="8.21875" bestFit="1" customWidth="1"/>
    <col min="22" max="23" width="9.33203125" bestFit="1" customWidth="1"/>
    <col min="24" max="24" width="6.88671875" customWidth="1"/>
  </cols>
  <sheetData>
    <row r="7" spans="2:20" x14ac:dyDescent="0.3">
      <c r="G7" s="129" t="s">
        <v>28</v>
      </c>
      <c r="H7" s="130"/>
      <c r="O7" s="131" t="s">
        <v>3</v>
      </c>
      <c r="P7" s="131"/>
      <c r="T7" s="2" t="s">
        <v>4</v>
      </c>
    </row>
    <row r="8" spans="2:20" x14ac:dyDescent="0.3">
      <c r="D8" s="32" t="s">
        <v>29</v>
      </c>
      <c r="E8" s="32" t="s">
        <v>30</v>
      </c>
      <c r="F8" s="32" t="s">
        <v>31</v>
      </c>
      <c r="G8" s="35" t="s">
        <v>32</v>
      </c>
      <c r="H8" s="32" t="s">
        <v>33</v>
      </c>
      <c r="I8" s="32" t="s">
        <v>34</v>
      </c>
      <c r="J8" s="32" t="s">
        <v>30</v>
      </c>
      <c r="T8" s="3" t="s">
        <v>5</v>
      </c>
    </row>
    <row r="9" spans="2:20" x14ac:dyDescent="0.3">
      <c r="B9" s="4" t="s">
        <v>6</v>
      </c>
      <c r="D9" s="18">
        <f t="shared" ref="D9:D20" si="0">E9-(G9-E9)</f>
        <v>113.67999999999999</v>
      </c>
      <c r="E9" s="1">
        <f t="shared" ref="E9:E20" si="1">G9-(I9-G9)</f>
        <v>119.91</v>
      </c>
      <c r="F9" s="8">
        <f t="shared" ref="F9:F20" si="2">AVERAGE(E9,G9)</f>
        <v>123.02500000000001</v>
      </c>
      <c r="G9" s="23">
        <v>126.14</v>
      </c>
      <c r="H9" s="19">
        <v>129.25</v>
      </c>
      <c r="I9" s="20">
        <v>132.37</v>
      </c>
      <c r="J9" s="7">
        <f t="shared" ref="J9:J20" si="3">I9+(I9-H9)</f>
        <v>135.49</v>
      </c>
      <c r="L9" s="4" t="s">
        <v>6</v>
      </c>
      <c r="M9" s="5" t="s">
        <v>2</v>
      </c>
      <c r="N9" s="6">
        <v>44057</v>
      </c>
      <c r="O9" s="7">
        <v>131.85</v>
      </c>
      <c r="P9" s="6">
        <v>44060</v>
      </c>
      <c r="Q9" s="7">
        <v>135.4</v>
      </c>
      <c r="R9" s="5">
        <v>3700</v>
      </c>
      <c r="S9" s="8">
        <f t="shared" ref="S9:S22" si="4">IF(M9="BUY",(R9*(Q9-O9)),(R9*(O9-Q9)))</f>
        <v>13135.000000000042</v>
      </c>
      <c r="T9" s="9" t="str">
        <f t="shared" ref="T9:T20" si="5">IF(S9&lt;0,"FAILED",IF(S9=0,"NOTRADE","PASS"))</f>
        <v>PASS</v>
      </c>
    </row>
    <row r="10" spans="2:20" x14ac:dyDescent="0.3">
      <c r="B10" s="4" t="s">
        <v>7</v>
      </c>
      <c r="D10" s="18">
        <f t="shared" si="0"/>
        <v>114.63000000000002</v>
      </c>
      <c r="E10" s="1">
        <f t="shared" si="1"/>
        <v>125.24000000000001</v>
      </c>
      <c r="F10" s="8">
        <f t="shared" si="2"/>
        <v>130.54500000000002</v>
      </c>
      <c r="G10" s="23">
        <v>135.85</v>
      </c>
      <c r="H10" s="19">
        <v>141.15</v>
      </c>
      <c r="I10" s="20">
        <v>146.45999999999998</v>
      </c>
      <c r="J10" s="7">
        <f t="shared" si="3"/>
        <v>151.76999999999995</v>
      </c>
      <c r="L10" s="4" t="s">
        <v>7</v>
      </c>
      <c r="M10" s="5" t="s">
        <v>2</v>
      </c>
      <c r="N10" s="6">
        <v>44049</v>
      </c>
      <c r="O10" s="7">
        <v>142.65</v>
      </c>
      <c r="P10" s="6">
        <v>44061</v>
      </c>
      <c r="Q10" s="7">
        <v>151.69999999999999</v>
      </c>
      <c r="R10" s="5">
        <v>3300</v>
      </c>
      <c r="S10" s="8">
        <f t="shared" si="4"/>
        <v>29864.999999999945</v>
      </c>
      <c r="T10" s="9" t="str">
        <f t="shared" si="5"/>
        <v>PASS</v>
      </c>
    </row>
    <row r="11" spans="2:20" x14ac:dyDescent="0.3">
      <c r="B11" s="4" t="s">
        <v>8</v>
      </c>
      <c r="D11" s="18">
        <f t="shared" si="0"/>
        <v>1524.43</v>
      </c>
      <c r="E11" s="1">
        <f t="shared" si="1"/>
        <v>1627.44</v>
      </c>
      <c r="F11" s="8">
        <f t="shared" si="2"/>
        <v>1678.9450000000002</v>
      </c>
      <c r="G11" s="23">
        <v>1730.45</v>
      </c>
      <c r="H11" s="19">
        <v>1781.95</v>
      </c>
      <c r="I11" s="20">
        <v>1833.46</v>
      </c>
      <c r="J11" s="7">
        <f t="shared" si="3"/>
        <v>1884.97</v>
      </c>
      <c r="L11" s="4" t="s">
        <v>8</v>
      </c>
      <c r="M11" s="5" t="s">
        <v>2</v>
      </c>
      <c r="N11" s="6">
        <v>44054</v>
      </c>
      <c r="O11" s="7">
        <v>1826.75</v>
      </c>
      <c r="P11" s="6">
        <v>44057</v>
      </c>
      <c r="Q11" s="7">
        <v>1781.95</v>
      </c>
      <c r="R11" s="5">
        <v>300</v>
      </c>
      <c r="S11" s="8">
        <f t="shared" si="4"/>
        <v>-13439.999999999985</v>
      </c>
      <c r="T11" s="9" t="str">
        <f t="shared" si="5"/>
        <v>FAILED</v>
      </c>
    </row>
    <row r="12" spans="2:20" x14ac:dyDescent="0.3">
      <c r="B12" s="4" t="s">
        <v>9</v>
      </c>
      <c r="D12" s="18">
        <f t="shared" si="0"/>
        <v>897.37999999999988</v>
      </c>
      <c r="E12" s="1">
        <f t="shared" si="1"/>
        <v>951.55</v>
      </c>
      <c r="F12" s="8">
        <f t="shared" si="2"/>
        <v>978.63499999999999</v>
      </c>
      <c r="G12" s="23">
        <v>1005.72</v>
      </c>
      <c r="H12" s="19">
        <v>1032.8</v>
      </c>
      <c r="I12" s="20">
        <v>1059.8900000000001</v>
      </c>
      <c r="J12" s="7">
        <f t="shared" si="3"/>
        <v>1086.9800000000002</v>
      </c>
      <c r="L12" s="4" t="s">
        <v>9</v>
      </c>
      <c r="M12" s="5" t="s">
        <v>2</v>
      </c>
      <c r="N12" s="6">
        <v>44047</v>
      </c>
      <c r="O12" s="7">
        <v>1041.6500000000001</v>
      </c>
      <c r="P12" s="6">
        <v>44064</v>
      </c>
      <c r="Q12" s="7">
        <v>1086.9000000000001</v>
      </c>
      <c r="R12" s="5">
        <v>550</v>
      </c>
      <c r="S12" s="8">
        <f t="shared" si="4"/>
        <v>24887.5</v>
      </c>
      <c r="T12" s="9" t="str">
        <f t="shared" si="5"/>
        <v>PASS</v>
      </c>
    </row>
    <row r="13" spans="2:20" x14ac:dyDescent="0.3">
      <c r="B13" s="4" t="s">
        <v>10</v>
      </c>
      <c r="D13" s="18">
        <f t="shared" si="0"/>
        <v>282.53000000000003</v>
      </c>
      <c r="E13" s="1">
        <f t="shared" si="1"/>
        <v>308.24</v>
      </c>
      <c r="F13" s="8">
        <f t="shared" si="2"/>
        <v>321.09500000000003</v>
      </c>
      <c r="G13" s="23">
        <v>333.95</v>
      </c>
      <c r="H13" s="19">
        <v>346.8</v>
      </c>
      <c r="I13" s="20">
        <v>359.65999999999997</v>
      </c>
      <c r="J13" s="7">
        <f t="shared" si="3"/>
        <v>372.51999999999992</v>
      </c>
      <c r="L13" s="4" t="s">
        <v>10</v>
      </c>
      <c r="M13" s="5" t="s">
        <v>2</v>
      </c>
      <c r="N13" s="6">
        <v>44048</v>
      </c>
      <c r="O13" s="7">
        <v>352.2</v>
      </c>
      <c r="P13" s="6">
        <v>44054</v>
      </c>
      <c r="Q13" s="7">
        <v>372.5</v>
      </c>
      <c r="R13" s="5">
        <v>1375</v>
      </c>
      <c r="S13" s="8">
        <f t="shared" si="4"/>
        <v>27912.500000000015</v>
      </c>
      <c r="T13" s="9" t="str">
        <f t="shared" si="5"/>
        <v>PASS</v>
      </c>
    </row>
    <row r="14" spans="2:20" x14ac:dyDescent="0.3">
      <c r="B14" s="4" t="s">
        <v>11</v>
      </c>
      <c r="D14" s="18">
        <f t="shared" si="0"/>
        <v>819.03000000000009</v>
      </c>
      <c r="E14" s="1">
        <f t="shared" si="1"/>
        <v>877.82</v>
      </c>
      <c r="F14" s="8">
        <f t="shared" si="2"/>
        <v>907.21500000000003</v>
      </c>
      <c r="G14" s="23">
        <v>936.61</v>
      </c>
      <c r="H14" s="19">
        <v>966</v>
      </c>
      <c r="I14" s="20">
        <v>995.4</v>
      </c>
      <c r="J14" s="7">
        <f t="shared" si="3"/>
        <v>1024.8</v>
      </c>
      <c r="L14" s="4" t="s">
        <v>11</v>
      </c>
      <c r="M14" s="5"/>
      <c r="N14" s="6"/>
      <c r="O14" s="7"/>
      <c r="P14" s="6"/>
      <c r="Q14" s="7"/>
      <c r="R14" s="5">
        <v>1200</v>
      </c>
      <c r="S14" s="8">
        <f t="shared" si="4"/>
        <v>0</v>
      </c>
      <c r="T14" s="9" t="str">
        <f t="shared" si="5"/>
        <v>NOTRADE</v>
      </c>
    </row>
    <row r="15" spans="2:20" x14ac:dyDescent="0.3">
      <c r="B15" s="4" t="s">
        <v>12</v>
      </c>
      <c r="D15" s="18">
        <f t="shared" si="0"/>
        <v>172.37999999999997</v>
      </c>
      <c r="E15" s="1">
        <f t="shared" si="1"/>
        <v>181.08999999999997</v>
      </c>
      <c r="F15" s="8">
        <f t="shared" si="2"/>
        <v>185.44499999999999</v>
      </c>
      <c r="G15" s="23">
        <v>189.79999999999998</v>
      </c>
      <c r="H15" s="19">
        <v>194.15</v>
      </c>
      <c r="I15" s="20">
        <v>198.51</v>
      </c>
      <c r="J15" s="7">
        <f t="shared" si="3"/>
        <v>202.86999999999998</v>
      </c>
      <c r="L15" s="4" t="s">
        <v>12</v>
      </c>
      <c r="M15" s="5" t="s">
        <v>2</v>
      </c>
      <c r="N15" s="6">
        <v>44053</v>
      </c>
      <c r="O15" s="7">
        <v>198.85</v>
      </c>
      <c r="P15" s="6">
        <v>44054</v>
      </c>
      <c r="Q15" s="7">
        <v>202.8</v>
      </c>
      <c r="R15" s="5">
        <v>3200</v>
      </c>
      <c r="S15" s="8">
        <f t="shared" si="4"/>
        <v>12640.000000000055</v>
      </c>
      <c r="T15" s="9" t="str">
        <f t="shared" si="5"/>
        <v>PASS</v>
      </c>
    </row>
    <row r="16" spans="2:20" x14ac:dyDescent="0.3">
      <c r="B16" s="4" t="s">
        <v>13</v>
      </c>
      <c r="D16" s="18">
        <f t="shared" si="0"/>
        <v>5353.329999999999</v>
      </c>
      <c r="E16" s="1">
        <f t="shared" si="1"/>
        <v>5717.0999999999995</v>
      </c>
      <c r="F16" s="8">
        <f t="shared" si="2"/>
        <v>5898.9849999999997</v>
      </c>
      <c r="G16" s="23">
        <v>6080.87</v>
      </c>
      <c r="H16" s="19">
        <v>6262.75</v>
      </c>
      <c r="I16" s="20">
        <v>6444.64</v>
      </c>
      <c r="J16" s="7">
        <f t="shared" si="3"/>
        <v>6626.5300000000007</v>
      </c>
      <c r="L16" s="4" t="s">
        <v>13</v>
      </c>
      <c r="M16" s="5" t="s">
        <v>2</v>
      </c>
      <c r="N16" s="6">
        <v>44048</v>
      </c>
      <c r="O16" s="7">
        <v>6526.25</v>
      </c>
      <c r="P16" s="6">
        <v>44050</v>
      </c>
      <c r="Q16" s="7">
        <v>6626.5</v>
      </c>
      <c r="R16" s="5">
        <v>100</v>
      </c>
      <c r="S16" s="8">
        <f t="shared" si="4"/>
        <v>10025</v>
      </c>
      <c r="T16" s="9" t="str">
        <f t="shared" si="5"/>
        <v>PASS</v>
      </c>
    </row>
    <row r="17" spans="2:20" x14ac:dyDescent="0.3">
      <c r="B17" s="4" t="s">
        <v>14</v>
      </c>
      <c r="D17" s="18">
        <f t="shared" si="0"/>
        <v>1695.6299999999997</v>
      </c>
      <c r="E17" s="1">
        <f t="shared" si="1"/>
        <v>1844.2199999999998</v>
      </c>
      <c r="F17" s="8">
        <f t="shared" si="2"/>
        <v>1918.5149999999999</v>
      </c>
      <c r="G17" s="23">
        <v>1992.81</v>
      </c>
      <c r="H17" s="19">
        <v>2067.1</v>
      </c>
      <c r="I17" s="20">
        <v>2141.4</v>
      </c>
      <c r="J17" s="7">
        <f t="shared" si="3"/>
        <v>2215.7000000000003</v>
      </c>
      <c r="L17" s="4" t="s">
        <v>14</v>
      </c>
      <c r="M17" s="5" t="s">
        <v>2</v>
      </c>
      <c r="N17" s="6">
        <v>44047</v>
      </c>
      <c r="O17" s="7">
        <v>2150.6</v>
      </c>
      <c r="P17" s="6">
        <v>44069</v>
      </c>
      <c r="Q17" s="7">
        <v>2067.1</v>
      </c>
      <c r="R17" s="5">
        <v>505</v>
      </c>
      <c r="S17" s="8">
        <f t="shared" si="4"/>
        <v>-42167.5</v>
      </c>
      <c r="T17" s="9" t="str">
        <f t="shared" si="5"/>
        <v>FAILED</v>
      </c>
    </row>
    <row r="18" spans="2:20" x14ac:dyDescent="0.3">
      <c r="B18" s="4" t="s">
        <v>15</v>
      </c>
      <c r="D18" s="18">
        <f t="shared" si="0"/>
        <v>157.93</v>
      </c>
      <c r="E18" s="1">
        <f t="shared" si="1"/>
        <v>171.34</v>
      </c>
      <c r="F18" s="8">
        <f t="shared" si="2"/>
        <v>178.04500000000002</v>
      </c>
      <c r="G18" s="23">
        <v>184.75</v>
      </c>
      <c r="H18" s="19">
        <v>191.45</v>
      </c>
      <c r="I18" s="20">
        <v>198.16</v>
      </c>
      <c r="J18" s="7">
        <f t="shared" si="3"/>
        <v>204.87</v>
      </c>
      <c r="L18" s="4" t="s">
        <v>15</v>
      </c>
      <c r="M18" s="5" t="s">
        <v>2</v>
      </c>
      <c r="N18" s="6">
        <v>44057</v>
      </c>
      <c r="O18" s="7">
        <v>198.2</v>
      </c>
      <c r="P18" s="6">
        <v>44068</v>
      </c>
      <c r="Q18" s="7">
        <v>204.8</v>
      </c>
      <c r="R18" s="5">
        <v>3000</v>
      </c>
      <c r="S18" s="8">
        <f t="shared" si="4"/>
        <v>19800.000000000069</v>
      </c>
      <c r="T18" s="9" t="str">
        <f t="shared" si="5"/>
        <v>PASS</v>
      </c>
    </row>
    <row r="19" spans="2:20" x14ac:dyDescent="0.3">
      <c r="B19" s="4" t="s">
        <v>16</v>
      </c>
      <c r="D19" s="18">
        <f t="shared" si="0"/>
        <v>453.73000000000013</v>
      </c>
      <c r="E19" s="1">
        <f t="shared" si="1"/>
        <v>484.92000000000007</v>
      </c>
      <c r="F19" s="8">
        <f t="shared" si="2"/>
        <v>500.51500000000004</v>
      </c>
      <c r="G19" s="23">
        <v>516.11</v>
      </c>
      <c r="H19" s="19">
        <v>531.70000000000005</v>
      </c>
      <c r="I19" s="20">
        <v>547.29999999999995</v>
      </c>
      <c r="J19" s="7">
        <f t="shared" si="3"/>
        <v>562.89999999999986</v>
      </c>
      <c r="L19" s="4" t="s">
        <v>16</v>
      </c>
      <c r="M19" s="5" t="s">
        <v>2</v>
      </c>
      <c r="N19" s="6">
        <v>44053</v>
      </c>
      <c r="O19" s="7">
        <v>543.85</v>
      </c>
      <c r="P19" s="6">
        <v>44055</v>
      </c>
      <c r="Q19" s="7">
        <v>531.70000000000005</v>
      </c>
      <c r="R19" s="5">
        <v>1400</v>
      </c>
      <c r="S19" s="8">
        <f t="shared" si="4"/>
        <v>-17009.999999999967</v>
      </c>
      <c r="T19" s="9" t="str">
        <f t="shared" si="5"/>
        <v>FAILED</v>
      </c>
    </row>
    <row r="20" spans="2:20" x14ac:dyDescent="0.3">
      <c r="B20" s="4" t="s">
        <v>17</v>
      </c>
      <c r="D20" s="18">
        <f t="shared" si="0"/>
        <v>106.57999999999998</v>
      </c>
      <c r="E20" s="1">
        <f t="shared" si="1"/>
        <v>119.44999999999999</v>
      </c>
      <c r="F20" s="8">
        <f t="shared" si="2"/>
        <v>125.88499999999999</v>
      </c>
      <c r="G20" s="23">
        <v>132.32</v>
      </c>
      <c r="H20" s="19">
        <v>138.75</v>
      </c>
      <c r="I20" s="20">
        <v>145.19</v>
      </c>
      <c r="J20" s="7">
        <f t="shared" si="3"/>
        <v>151.63</v>
      </c>
      <c r="L20" s="4" t="s">
        <v>17</v>
      </c>
      <c r="M20" s="5" t="s">
        <v>2</v>
      </c>
      <c r="N20" s="6">
        <v>44048</v>
      </c>
      <c r="O20" s="7">
        <v>145.55000000000001</v>
      </c>
      <c r="P20" s="6">
        <v>44049</v>
      </c>
      <c r="Q20" s="7">
        <v>151.6</v>
      </c>
      <c r="R20" s="5">
        <v>3000</v>
      </c>
      <c r="S20" s="8">
        <f t="shared" si="4"/>
        <v>18149.999999999949</v>
      </c>
      <c r="T20" s="9" t="str">
        <f t="shared" si="5"/>
        <v>PASS</v>
      </c>
    </row>
    <row r="21" spans="2:20" x14ac:dyDescent="0.3">
      <c r="B21" s="21"/>
      <c r="D21" s="17"/>
      <c r="E21" s="17"/>
      <c r="F21" s="17"/>
      <c r="G21" s="17"/>
      <c r="H21" s="17"/>
      <c r="I21" s="17"/>
      <c r="J21" s="17"/>
      <c r="L21" s="10"/>
      <c r="M21" s="10"/>
      <c r="N21" s="10"/>
      <c r="O21" s="10"/>
      <c r="P21" s="10"/>
      <c r="Q21" s="10"/>
      <c r="R21" s="10"/>
      <c r="S21" s="10"/>
      <c r="T21" s="10"/>
    </row>
    <row r="22" spans="2:20" x14ac:dyDescent="0.3">
      <c r="B22" s="4" t="s">
        <v>18</v>
      </c>
      <c r="D22" s="18">
        <f>E22-(G22-E22)</f>
        <v>10313.880000000001</v>
      </c>
      <c r="E22" s="1">
        <f>G22-(I22-G22)</f>
        <v>10617.710000000001</v>
      </c>
      <c r="F22" s="8">
        <f>AVERAGE(E22,G22)</f>
        <v>10769.625</v>
      </c>
      <c r="G22" s="23">
        <v>10921.54</v>
      </c>
      <c r="H22" s="19">
        <v>11073.45</v>
      </c>
      <c r="I22" s="20">
        <v>11225.37</v>
      </c>
      <c r="J22" s="7">
        <f>I22+(I22-H22)</f>
        <v>11377.29</v>
      </c>
      <c r="L22" s="4" t="s">
        <v>18</v>
      </c>
      <c r="M22" s="5" t="s">
        <v>2</v>
      </c>
      <c r="N22" s="6">
        <v>44048</v>
      </c>
      <c r="O22" s="7">
        <v>11101.65</v>
      </c>
      <c r="P22" s="6">
        <v>44061</v>
      </c>
      <c r="Q22" s="7">
        <v>11377.2</v>
      </c>
      <c r="R22" s="5">
        <v>75</v>
      </c>
      <c r="S22" s="8">
        <f t="shared" si="4"/>
        <v>20666.25000000008</v>
      </c>
      <c r="T22" s="9" t="str">
        <f t="shared" ref="T22" si="6">IF(S22&lt;0,"FAILED",IF(S22=0,"NOTRADE","PASS"))</f>
        <v>PASS</v>
      </c>
    </row>
    <row r="24" spans="2:20" x14ac:dyDescent="0.3">
      <c r="S24" s="12">
        <f>SUM(S9:S22)</f>
        <v>104463.7500000002</v>
      </c>
    </row>
    <row r="40" spans="2:20" x14ac:dyDescent="0.3">
      <c r="G40" s="129" t="s">
        <v>35</v>
      </c>
      <c r="H40" s="130"/>
      <c r="O40" s="131" t="s">
        <v>20</v>
      </c>
      <c r="P40" s="131"/>
      <c r="T40" s="2" t="s">
        <v>4</v>
      </c>
    </row>
    <row r="41" spans="2:20" x14ac:dyDescent="0.3">
      <c r="D41" s="32" t="s">
        <v>29</v>
      </c>
      <c r="E41" s="32" t="s">
        <v>30</v>
      </c>
      <c r="F41" s="32" t="s">
        <v>31</v>
      </c>
      <c r="G41" s="35" t="s">
        <v>32</v>
      </c>
      <c r="H41" s="32" t="s">
        <v>33</v>
      </c>
      <c r="I41" s="32" t="s">
        <v>34</v>
      </c>
      <c r="J41" s="32" t="s">
        <v>30</v>
      </c>
      <c r="T41" s="3" t="s">
        <v>21</v>
      </c>
    </row>
    <row r="42" spans="2:20" x14ac:dyDescent="0.3">
      <c r="B42" s="4" t="s">
        <v>6</v>
      </c>
      <c r="D42" s="18">
        <f t="shared" ref="D42:D53" si="7">E42-(G42-E42)</f>
        <v>123.67999999999998</v>
      </c>
      <c r="E42" s="1">
        <f t="shared" ref="E42:E53" si="8">G42-(I42-G42)</f>
        <v>129.82999999999998</v>
      </c>
      <c r="F42" s="8">
        <f t="shared" ref="F42:F53" si="9">AVERAGE(E42,G42)</f>
        <v>132.90499999999997</v>
      </c>
      <c r="G42" s="23">
        <v>135.97999999999999</v>
      </c>
      <c r="H42" s="19">
        <v>139.05000000000001</v>
      </c>
      <c r="I42" s="20">
        <v>142.13</v>
      </c>
      <c r="J42" s="7">
        <f t="shared" ref="J42:J53" si="10">I42+(I42-H42)</f>
        <v>145.20999999999998</v>
      </c>
      <c r="L42" s="4" t="s">
        <v>6</v>
      </c>
      <c r="M42" s="5" t="s">
        <v>2</v>
      </c>
      <c r="N42" s="6">
        <v>44074</v>
      </c>
      <c r="O42" s="7">
        <v>134.35</v>
      </c>
      <c r="P42" s="6">
        <v>44075</v>
      </c>
      <c r="Q42" s="7">
        <v>132.9</v>
      </c>
      <c r="R42" s="5">
        <v>3700</v>
      </c>
      <c r="S42" s="8">
        <f t="shared" ref="S42:S55" si="11">IF(M42="BUY",(R42*(Q42-O42)),(R42*(O42-Q42)))</f>
        <v>-5364.9999999999582</v>
      </c>
      <c r="T42" s="9" t="str">
        <f t="shared" ref="T42:T55" si="12">IF(S42&lt;0,"FAILED",IF(S42=0,"NOTRADE","PASS"))</f>
        <v>FAILED</v>
      </c>
    </row>
    <row r="43" spans="2:20" x14ac:dyDescent="0.3">
      <c r="B43" s="4" t="s">
        <v>7</v>
      </c>
      <c r="D43" s="18">
        <f t="shared" si="7"/>
        <v>132.37999999999997</v>
      </c>
      <c r="E43" s="1">
        <f t="shared" si="8"/>
        <v>148.64999999999998</v>
      </c>
      <c r="F43" s="8">
        <f t="shared" si="9"/>
        <v>156.78499999999997</v>
      </c>
      <c r="G43" s="23">
        <v>164.92</v>
      </c>
      <c r="H43" s="19">
        <v>173.05</v>
      </c>
      <c r="I43" s="20">
        <v>181.19</v>
      </c>
      <c r="J43" s="7">
        <f t="shared" si="10"/>
        <v>189.32999999999998</v>
      </c>
      <c r="L43" s="4" t="s">
        <v>6</v>
      </c>
      <c r="M43" s="5" t="s">
        <v>1</v>
      </c>
      <c r="N43" s="6">
        <v>44076</v>
      </c>
      <c r="O43" s="7">
        <v>135.9</v>
      </c>
      <c r="P43" s="6">
        <v>44082</v>
      </c>
      <c r="Q43" s="7">
        <v>129.80000000000001</v>
      </c>
      <c r="R43" s="5">
        <v>3700</v>
      </c>
      <c r="S43" s="8">
        <f t="shared" si="11"/>
        <v>22569.999999999978</v>
      </c>
      <c r="T43" s="9" t="str">
        <f t="shared" si="12"/>
        <v>PASS</v>
      </c>
    </row>
    <row r="44" spans="2:20" x14ac:dyDescent="0.3">
      <c r="B44" s="4" t="s">
        <v>8</v>
      </c>
      <c r="D44" s="18">
        <f t="shared" si="7"/>
        <v>1699.2800000000002</v>
      </c>
      <c r="E44" s="1">
        <f t="shared" si="8"/>
        <v>1772.8700000000001</v>
      </c>
      <c r="F44" s="8">
        <f t="shared" si="9"/>
        <v>1809.665</v>
      </c>
      <c r="G44" s="23">
        <v>1846.46</v>
      </c>
      <c r="H44" s="19">
        <v>1883.25</v>
      </c>
      <c r="I44" s="20">
        <v>1920.05</v>
      </c>
      <c r="J44" s="7">
        <f t="shared" si="10"/>
        <v>1956.85</v>
      </c>
      <c r="L44" s="4" t="s">
        <v>7</v>
      </c>
      <c r="M44" s="5" t="s">
        <v>1</v>
      </c>
      <c r="N44" s="6">
        <v>44092</v>
      </c>
      <c r="O44" s="7">
        <v>164.9</v>
      </c>
      <c r="P44" s="6">
        <v>44096</v>
      </c>
      <c r="Q44" s="7">
        <v>148.65</v>
      </c>
      <c r="R44" s="5">
        <v>3300</v>
      </c>
      <c r="S44" s="13">
        <f t="shared" si="11"/>
        <v>53625</v>
      </c>
      <c r="T44" s="9" t="str">
        <f t="shared" si="12"/>
        <v>PASS</v>
      </c>
    </row>
    <row r="45" spans="2:20" x14ac:dyDescent="0.3">
      <c r="B45" s="4" t="s">
        <v>9</v>
      </c>
      <c r="D45" s="18">
        <f t="shared" si="7"/>
        <v>967.93000000000029</v>
      </c>
      <c r="E45" s="1">
        <f t="shared" si="8"/>
        <v>1026.5600000000002</v>
      </c>
      <c r="F45" s="8">
        <f t="shared" si="9"/>
        <v>1055.875</v>
      </c>
      <c r="G45" s="23">
        <v>1085.19</v>
      </c>
      <c r="H45" s="19">
        <v>1114.5</v>
      </c>
      <c r="I45" s="20">
        <v>1143.82</v>
      </c>
      <c r="J45" s="7">
        <f t="shared" si="10"/>
        <v>1173.1399999999999</v>
      </c>
      <c r="L45" s="4" t="s">
        <v>8</v>
      </c>
      <c r="M45" s="5" t="s">
        <v>1</v>
      </c>
      <c r="N45" s="6">
        <v>44074</v>
      </c>
      <c r="O45" s="7">
        <v>1846.4</v>
      </c>
      <c r="P45" s="6">
        <v>44078</v>
      </c>
      <c r="Q45" s="7">
        <v>1883.25</v>
      </c>
      <c r="R45" s="5">
        <v>300</v>
      </c>
      <c r="S45" s="13">
        <f t="shared" si="11"/>
        <v>-11054.999999999973</v>
      </c>
      <c r="T45" s="9" t="str">
        <f t="shared" si="12"/>
        <v>FAILED</v>
      </c>
    </row>
    <row r="46" spans="2:20" x14ac:dyDescent="0.3">
      <c r="B46" s="4" t="s">
        <v>10</v>
      </c>
      <c r="D46" s="18">
        <f t="shared" si="7"/>
        <v>357.27999999999992</v>
      </c>
      <c r="E46" s="1">
        <f t="shared" si="8"/>
        <v>378.24999999999994</v>
      </c>
      <c r="F46" s="8">
        <f t="shared" si="9"/>
        <v>388.73499999999996</v>
      </c>
      <c r="G46" s="23">
        <v>399.21999999999997</v>
      </c>
      <c r="H46" s="19">
        <v>409.7</v>
      </c>
      <c r="I46" s="20">
        <v>420.19</v>
      </c>
      <c r="J46" s="7">
        <f t="shared" si="10"/>
        <v>430.68</v>
      </c>
      <c r="L46" s="4" t="s">
        <v>9</v>
      </c>
      <c r="M46" s="5" t="s">
        <v>2</v>
      </c>
      <c r="N46" s="6">
        <v>44074</v>
      </c>
      <c r="O46" s="7">
        <v>1115.8499999999999</v>
      </c>
      <c r="P46" s="6">
        <v>44084</v>
      </c>
      <c r="Q46" s="7">
        <v>1055.8</v>
      </c>
      <c r="R46" s="5">
        <v>550</v>
      </c>
      <c r="S46" s="13">
        <f t="shared" si="11"/>
        <v>-33027.499999999978</v>
      </c>
      <c r="T46" s="9" t="str">
        <f t="shared" si="12"/>
        <v>FAILED</v>
      </c>
    </row>
    <row r="47" spans="2:20" x14ac:dyDescent="0.3">
      <c r="B47" s="4" t="s">
        <v>11</v>
      </c>
      <c r="D47" s="18">
        <f t="shared" si="7"/>
        <v>848.38</v>
      </c>
      <c r="E47" s="1">
        <f t="shared" si="8"/>
        <v>883.13</v>
      </c>
      <c r="F47" s="8">
        <f t="shared" si="9"/>
        <v>900.505</v>
      </c>
      <c r="G47" s="23">
        <v>917.88</v>
      </c>
      <c r="H47" s="19">
        <v>935.25</v>
      </c>
      <c r="I47" s="20">
        <v>952.63</v>
      </c>
      <c r="J47" s="7">
        <f t="shared" si="10"/>
        <v>970.01</v>
      </c>
      <c r="L47" s="4" t="s">
        <v>9</v>
      </c>
      <c r="M47" s="5" t="s">
        <v>1</v>
      </c>
      <c r="N47" s="6">
        <v>44090</v>
      </c>
      <c r="O47" s="7">
        <v>1085.0999999999999</v>
      </c>
      <c r="P47" s="6">
        <v>44098</v>
      </c>
      <c r="Q47" s="7">
        <v>1026.5</v>
      </c>
      <c r="R47" s="5">
        <v>550</v>
      </c>
      <c r="S47" s="13">
        <f t="shared" si="11"/>
        <v>32229.999999999949</v>
      </c>
      <c r="T47" s="9" t="str">
        <f t="shared" si="12"/>
        <v>PASS</v>
      </c>
    </row>
    <row r="48" spans="2:20" x14ac:dyDescent="0.3">
      <c r="B48" s="4" t="s">
        <v>12</v>
      </c>
      <c r="D48" s="18">
        <f t="shared" si="7"/>
        <v>176.92999999999995</v>
      </c>
      <c r="E48" s="1">
        <f t="shared" si="8"/>
        <v>184.37999999999997</v>
      </c>
      <c r="F48" s="8">
        <f t="shared" si="9"/>
        <v>188.10499999999996</v>
      </c>
      <c r="G48" s="23">
        <v>191.82999999999998</v>
      </c>
      <c r="H48" s="19">
        <v>195.55</v>
      </c>
      <c r="I48" s="20">
        <v>199.28</v>
      </c>
      <c r="J48" s="7">
        <f t="shared" si="10"/>
        <v>203.01</v>
      </c>
      <c r="L48" s="4" t="s">
        <v>10</v>
      </c>
      <c r="M48" s="5" t="s">
        <v>1</v>
      </c>
      <c r="N48" s="6">
        <v>44074</v>
      </c>
      <c r="O48" s="7">
        <v>399.2</v>
      </c>
      <c r="P48" s="6">
        <v>44078</v>
      </c>
      <c r="Q48" s="7">
        <v>378.25</v>
      </c>
      <c r="R48" s="14">
        <v>1375</v>
      </c>
      <c r="S48" s="8">
        <f t="shared" si="11"/>
        <v>28806.249999999985</v>
      </c>
      <c r="T48" s="15" t="str">
        <f t="shared" si="12"/>
        <v>PASS</v>
      </c>
    </row>
    <row r="49" spans="2:20" x14ac:dyDescent="0.3">
      <c r="B49" s="4" t="s">
        <v>13</v>
      </c>
      <c r="D49" s="18">
        <f t="shared" si="7"/>
        <v>6214.7799999999988</v>
      </c>
      <c r="E49" s="1">
        <f t="shared" si="8"/>
        <v>6570.5099999999993</v>
      </c>
      <c r="F49" s="8">
        <f t="shared" si="9"/>
        <v>6748.375</v>
      </c>
      <c r="G49" s="23">
        <v>6926.24</v>
      </c>
      <c r="H49" s="19">
        <v>7104.1</v>
      </c>
      <c r="I49" s="20">
        <v>7281.97</v>
      </c>
      <c r="J49" s="7">
        <f t="shared" si="10"/>
        <v>7459.84</v>
      </c>
      <c r="L49" s="4" t="s">
        <v>11</v>
      </c>
      <c r="M49" s="5" t="s">
        <v>2</v>
      </c>
      <c r="N49" s="6">
        <v>44085</v>
      </c>
      <c r="O49" s="7">
        <v>945.7</v>
      </c>
      <c r="P49" s="6">
        <v>44088</v>
      </c>
      <c r="Q49" s="7">
        <v>970</v>
      </c>
      <c r="R49" s="5">
        <v>1200</v>
      </c>
      <c r="S49" s="13">
        <f t="shared" si="11"/>
        <v>29159.999999999945</v>
      </c>
      <c r="T49" s="9" t="str">
        <f t="shared" si="12"/>
        <v>PASS</v>
      </c>
    </row>
    <row r="50" spans="2:20" x14ac:dyDescent="0.3">
      <c r="B50" s="4" t="s">
        <v>14</v>
      </c>
      <c r="D50" s="18">
        <f t="shared" si="7"/>
        <v>1839.8300000000008</v>
      </c>
      <c r="E50" s="1">
        <f t="shared" si="8"/>
        <v>1950.3600000000006</v>
      </c>
      <c r="F50" s="8">
        <f t="shared" si="9"/>
        <v>2005.6250000000005</v>
      </c>
      <c r="G50" s="23">
        <v>2060.8900000000003</v>
      </c>
      <c r="H50" s="19">
        <v>2116.15</v>
      </c>
      <c r="I50" s="20">
        <v>2171.42</v>
      </c>
      <c r="J50" s="7">
        <f t="shared" si="10"/>
        <v>2226.69</v>
      </c>
      <c r="L50" s="4" t="s">
        <v>12</v>
      </c>
      <c r="M50" s="5"/>
      <c r="N50" s="6"/>
      <c r="O50" s="7"/>
      <c r="P50" s="6"/>
      <c r="Q50" s="7"/>
      <c r="R50" s="5"/>
      <c r="S50" s="8">
        <f t="shared" si="11"/>
        <v>0</v>
      </c>
      <c r="T50" s="9" t="str">
        <f t="shared" si="12"/>
        <v>NOTRADE</v>
      </c>
    </row>
    <row r="51" spans="2:20" x14ac:dyDescent="0.3">
      <c r="B51" s="4" t="s">
        <v>15</v>
      </c>
      <c r="D51" s="18">
        <f t="shared" si="7"/>
        <v>194.87999999999997</v>
      </c>
      <c r="E51" s="1">
        <f t="shared" si="8"/>
        <v>206.86999999999998</v>
      </c>
      <c r="F51" s="8">
        <f t="shared" si="9"/>
        <v>212.86499999999998</v>
      </c>
      <c r="G51" s="23">
        <v>218.85999999999999</v>
      </c>
      <c r="H51" s="19">
        <v>224.85</v>
      </c>
      <c r="I51" s="20">
        <v>230.85</v>
      </c>
      <c r="J51" s="7">
        <f t="shared" si="10"/>
        <v>236.85</v>
      </c>
      <c r="L51" s="4" t="s">
        <v>13</v>
      </c>
      <c r="M51" s="5" t="s">
        <v>2</v>
      </c>
      <c r="N51" s="6">
        <v>44078</v>
      </c>
      <c r="O51" s="16">
        <v>7190.1</v>
      </c>
      <c r="P51" s="6">
        <v>44088</v>
      </c>
      <c r="Q51" s="7">
        <v>7104.1</v>
      </c>
      <c r="R51" s="5">
        <v>100</v>
      </c>
      <c r="S51" s="13">
        <f t="shared" si="11"/>
        <v>-8600</v>
      </c>
      <c r="T51" s="5" t="str">
        <f t="shared" si="12"/>
        <v>FAILED</v>
      </c>
    </row>
    <row r="52" spans="2:20" x14ac:dyDescent="0.3">
      <c r="B52" s="4" t="s">
        <v>16</v>
      </c>
      <c r="D52" s="18">
        <f t="shared" si="7"/>
        <v>480.68000000000006</v>
      </c>
      <c r="E52" s="1">
        <f t="shared" si="8"/>
        <v>510.71000000000004</v>
      </c>
      <c r="F52" s="8">
        <f t="shared" si="9"/>
        <v>525.72500000000002</v>
      </c>
      <c r="G52" s="23">
        <v>540.74</v>
      </c>
      <c r="H52" s="19">
        <v>555.75</v>
      </c>
      <c r="I52" s="20">
        <v>570.77</v>
      </c>
      <c r="J52" s="7">
        <f t="shared" si="10"/>
        <v>585.79</v>
      </c>
      <c r="L52" s="4" t="s">
        <v>14</v>
      </c>
      <c r="M52" s="5" t="s">
        <v>2</v>
      </c>
      <c r="N52" s="6">
        <v>44074</v>
      </c>
      <c r="O52" s="7">
        <v>2080.6999999999998</v>
      </c>
      <c r="P52" s="6">
        <v>44084</v>
      </c>
      <c r="Q52" s="7">
        <v>2226.6</v>
      </c>
      <c r="R52" s="14">
        <v>505</v>
      </c>
      <c r="S52" s="13">
        <f t="shared" si="11"/>
        <v>73679.500000000044</v>
      </c>
      <c r="T52" s="9" t="str">
        <f t="shared" si="12"/>
        <v>PASS</v>
      </c>
    </row>
    <row r="53" spans="2:20" x14ac:dyDescent="0.3">
      <c r="B53" s="4" t="s">
        <v>17</v>
      </c>
      <c r="D53" s="18">
        <f t="shared" si="7"/>
        <v>151.03</v>
      </c>
      <c r="E53" s="1">
        <f t="shared" si="8"/>
        <v>176.16</v>
      </c>
      <c r="F53" s="8">
        <f t="shared" si="9"/>
        <v>188.72499999999999</v>
      </c>
      <c r="G53" s="23">
        <v>201.29</v>
      </c>
      <c r="H53" s="19">
        <v>213.85</v>
      </c>
      <c r="I53" s="20">
        <v>226.42</v>
      </c>
      <c r="J53" s="7">
        <f t="shared" si="10"/>
        <v>238.98999999999998</v>
      </c>
      <c r="L53" s="4" t="s">
        <v>15</v>
      </c>
      <c r="M53" s="5" t="s">
        <v>1</v>
      </c>
      <c r="N53" s="6">
        <v>44075</v>
      </c>
      <c r="O53" s="7">
        <v>218.8</v>
      </c>
      <c r="P53" s="6">
        <v>44078</v>
      </c>
      <c r="Q53" s="7">
        <v>206.8</v>
      </c>
      <c r="R53" s="5">
        <v>3000</v>
      </c>
      <c r="S53" s="8">
        <f t="shared" si="11"/>
        <v>36000</v>
      </c>
      <c r="T53" s="9" t="str">
        <f t="shared" si="12"/>
        <v>PASS</v>
      </c>
    </row>
    <row r="54" spans="2:20" x14ac:dyDescent="0.3">
      <c r="B54" s="21"/>
      <c r="D54" s="17"/>
      <c r="E54" s="17"/>
      <c r="F54" s="17"/>
      <c r="G54" s="17"/>
      <c r="H54" s="17"/>
      <c r="I54" s="17"/>
      <c r="J54" s="17"/>
      <c r="L54" s="4" t="s">
        <v>16</v>
      </c>
      <c r="M54" s="5"/>
      <c r="N54" s="6"/>
      <c r="O54" s="7"/>
      <c r="P54" s="6"/>
      <c r="Q54" s="7"/>
      <c r="R54" s="5"/>
      <c r="S54" s="8">
        <f t="shared" si="11"/>
        <v>0</v>
      </c>
      <c r="T54" s="9" t="str">
        <f t="shared" si="12"/>
        <v>NOTRADE</v>
      </c>
    </row>
    <row r="55" spans="2:20" x14ac:dyDescent="0.3">
      <c r="B55" s="4" t="s">
        <v>18</v>
      </c>
      <c r="D55" s="18">
        <f>E55-(G55-E55)</f>
        <v>11056.33</v>
      </c>
      <c r="E55" s="1">
        <f>G55-(I55-G55)</f>
        <v>11292.84</v>
      </c>
      <c r="F55" s="8">
        <f>AVERAGE(E55,G55)</f>
        <v>11411.095000000001</v>
      </c>
      <c r="G55" s="23">
        <v>11529.35</v>
      </c>
      <c r="H55" s="19">
        <v>11647.6</v>
      </c>
      <c r="I55" s="20">
        <v>11765.86</v>
      </c>
      <c r="J55" s="7">
        <f>I55+(I55-H55)</f>
        <v>11884.12</v>
      </c>
      <c r="L55" s="4" t="s">
        <v>17</v>
      </c>
      <c r="M55" s="5" t="s">
        <v>2</v>
      </c>
      <c r="N55" s="6">
        <v>44084</v>
      </c>
      <c r="O55" s="7">
        <v>223.15</v>
      </c>
      <c r="P55" s="6">
        <v>44090</v>
      </c>
      <c r="Q55" s="7">
        <v>213.85</v>
      </c>
      <c r="R55" s="5">
        <v>3000</v>
      </c>
      <c r="S55" s="8">
        <f t="shared" si="11"/>
        <v>-27900.000000000033</v>
      </c>
      <c r="T55" s="9" t="str">
        <f t="shared" si="12"/>
        <v>FAILED</v>
      </c>
    </row>
    <row r="56" spans="2:20" x14ac:dyDescent="0.3">
      <c r="L56" s="17"/>
      <c r="M56" s="17"/>
      <c r="N56" s="17"/>
      <c r="O56" s="17"/>
      <c r="P56" s="17"/>
      <c r="Q56" s="17"/>
      <c r="R56" s="17"/>
      <c r="S56" s="17"/>
      <c r="T56" s="17"/>
    </row>
    <row r="57" spans="2:20" x14ac:dyDescent="0.3">
      <c r="L57" s="4" t="s">
        <v>18</v>
      </c>
      <c r="M57" s="5" t="s">
        <v>1</v>
      </c>
      <c r="N57" s="6">
        <v>44075</v>
      </c>
      <c r="O57" s="7">
        <v>11529.35</v>
      </c>
      <c r="P57" s="6">
        <v>44082</v>
      </c>
      <c r="Q57" s="7">
        <v>11292.8</v>
      </c>
      <c r="R57" s="5">
        <v>75</v>
      </c>
      <c r="S57" s="8">
        <f>IF(M57="BUY",(R57*(Q57-O57)),(R57*(O57-Q57)))</f>
        <v>17741.25000000008</v>
      </c>
      <c r="T57" s="9" t="str">
        <f>IF(S57&lt;0,"FAILED",IF(S57=0,"NOTRADE","PASS"))</f>
        <v>PASS</v>
      </c>
    </row>
    <row r="59" spans="2:20" x14ac:dyDescent="0.3">
      <c r="Q59" s="11" t="s">
        <v>19</v>
      </c>
      <c r="S59" s="12">
        <f>SUM(S42:S57)</f>
        <v>207864.50000000006</v>
      </c>
    </row>
    <row r="73" spans="2:20" x14ac:dyDescent="0.3">
      <c r="G73" s="129" t="s">
        <v>36</v>
      </c>
      <c r="H73" s="130"/>
      <c r="O73" s="131" t="s">
        <v>22</v>
      </c>
      <c r="P73" s="131"/>
      <c r="T73" s="2" t="s">
        <v>4</v>
      </c>
    </row>
    <row r="74" spans="2:20" x14ac:dyDescent="0.3">
      <c r="D74" s="32" t="s">
        <v>29</v>
      </c>
      <c r="E74" s="32" t="s">
        <v>30</v>
      </c>
      <c r="F74" s="32" t="s">
        <v>31</v>
      </c>
      <c r="G74" s="35" t="s">
        <v>32</v>
      </c>
      <c r="H74" s="32" t="s">
        <v>0</v>
      </c>
      <c r="I74" s="32" t="s">
        <v>34</v>
      </c>
      <c r="J74" s="32" t="s">
        <v>30</v>
      </c>
      <c r="T74" s="3" t="s">
        <v>23</v>
      </c>
    </row>
    <row r="75" spans="2:20" x14ac:dyDescent="0.3">
      <c r="B75" s="4" t="s">
        <v>6</v>
      </c>
      <c r="D75" s="18">
        <f t="shared" ref="D75:D86" si="13">E75-(G75-E75)</f>
        <v>100.53000000000002</v>
      </c>
      <c r="E75" s="1">
        <f t="shared" ref="E75:E86" si="14">G75-(I75-G75)</f>
        <v>107.16000000000001</v>
      </c>
      <c r="F75" s="8">
        <f t="shared" ref="F75:F86" si="15">AVERAGE(E75,G75)</f>
        <v>110.47500000000001</v>
      </c>
      <c r="G75" s="23">
        <v>113.79</v>
      </c>
      <c r="H75" s="19">
        <v>117.1</v>
      </c>
      <c r="I75" s="20">
        <v>120.42</v>
      </c>
      <c r="J75" s="7">
        <f t="shared" ref="J75:J86" si="16">I75+(I75-H75)</f>
        <v>123.74000000000001</v>
      </c>
      <c r="L75" s="4" t="s">
        <v>6</v>
      </c>
      <c r="M75" s="5" t="s">
        <v>2</v>
      </c>
      <c r="N75" s="6">
        <v>44102</v>
      </c>
      <c r="O75" s="7">
        <v>120</v>
      </c>
      <c r="P75" s="6">
        <v>44104</v>
      </c>
      <c r="Q75" s="7">
        <v>117.1</v>
      </c>
      <c r="R75" s="5">
        <v>3700</v>
      </c>
      <c r="S75" s="8">
        <f t="shared" ref="S75:S88" si="17">IF(M75="BUY",(R75*(Q75-O75)),(R75*(O75-Q75)))</f>
        <v>-10730.000000000022</v>
      </c>
      <c r="T75" s="9" t="str">
        <f>IF(S75&lt;0,"FAILED",IF(S75=0,"NOTRADE","PASS"))</f>
        <v>FAILED</v>
      </c>
    </row>
    <row r="76" spans="2:20" x14ac:dyDescent="0.3">
      <c r="B76" s="4" t="s">
        <v>7</v>
      </c>
      <c r="D76" s="18">
        <f t="shared" si="13"/>
        <v>113.07999999999998</v>
      </c>
      <c r="E76" s="1">
        <f t="shared" si="14"/>
        <v>128.38999999999999</v>
      </c>
      <c r="F76" s="8">
        <f t="shared" si="15"/>
        <v>136.04499999999999</v>
      </c>
      <c r="G76" s="23">
        <v>143.69999999999999</v>
      </c>
      <c r="H76" s="19">
        <v>151.35</v>
      </c>
      <c r="I76" s="20">
        <v>159.01</v>
      </c>
      <c r="J76" s="7">
        <f t="shared" si="16"/>
        <v>166.67</v>
      </c>
      <c r="L76" s="4" t="s">
        <v>6</v>
      </c>
      <c r="M76" s="5" t="s">
        <v>1</v>
      </c>
      <c r="N76" s="6">
        <v>44123</v>
      </c>
      <c r="O76" s="7">
        <v>113.7</v>
      </c>
      <c r="P76" s="6">
        <v>44127</v>
      </c>
      <c r="Q76" s="7">
        <v>117.1</v>
      </c>
      <c r="R76" s="5">
        <v>3700</v>
      </c>
      <c r="S76" s="8">
        <f t="shared" si="17"/>
        <v>-12579.999999999969</v>
      </c>
      <c r="T76" s="9" t="str">
        <f>IF(S76&lt;0,"FAILED",IF(S76=0,"NOTRADE","PASS"))</f>
        <v>FAILED</v>
      </c>
    </row>
    <row r="77" spans="2:20" x14ac:dyDescent="0.3">
      <c r="B77" s="4" t="s">
        <v>8</v>
      </c>
      <c r="D77" s="18">
        <f t="shared" si="13"/>
        <v>1453.7299999999996</v>
      </c>
      <c r="E77" s="1">
        <f t="shared" si="14"/>
        <v>1533.0399999999997</v>
      </c>
      <c r="F77" s="8">
        <f t="shared" si="15"/>
        <v>1572.6949999999997</v>
      </c>
      <c r="G77" s="23">
        <v>1612.35</v>
      </c>
      <c r="H77" s="19">
        <v>1652</v>
      </c>
      <c r="I77" s="20">
        <v>1691.66</v>
      </c>
      <c r="J77" s="7">
        <f t="shared" si="16"/>
        <v>1731.3200000000002</v>
      </c>
      <c r="L77" s="4" t="s">
        <v>7</v>
      </c>
      <c r="M77" s="5" t="s">
        <v>2</v>
      </c>
      <c r="N77" s="6">
        <v>44109</v>
      </c>
      <c r="O77" s="7">
        <v>159.25</v>
      </c>
      <c r="P77" s="6">
        <v>44123</v>
      </c>
      <c r="Q77" s="7">
        <v>166.6</v>
      </c>
      <c r="R77" s="5">
        <v>3300</v>
      </c>
      <c r="S77" s="13">
        <f t="shared" si="17"/>
        <v>24254.999999999982</v>
      </c>
      <c r="T77" s="9" t="str">
        <f>IF(S77&lt;0,"FAILED",IF(S77=0,"NOTRADE","PASS"))</f>
        <v>PASS</v>
      </c>
    </row>
    <row r="78" spans="2:20" x14ac:dyDescent="0.3">
      <c r="B78" s="4" t="s">
        <v>9</v>
      </c>
      <c r="D78" s="18">
        <f t="shared" si="13"/>
        <v>915.98000000000013</v>
      </c>
      <c r="E78" s="1">
        <f t="shared" si="14"/>
        <v>967.19</v>
      </c>
      <c r="F78" s="8">
        <f t="shared" si="15"/>
        <v>992.79500000000007</v>
      </c>
      <c r="G78" s="23">
        <v>1018.4</v>
      </c>
      <c r="H78" s="19">
        <v>1044</v>
      </c>
      <c r="I78" s="20">
        <v>1069.6099999999999</v>
      </c>
      <c r="J78" s="7">
        <f t="shared" si="16"/>
        <v>1095.2199999999998</v>
      </c>
      <c r="L78" s="4" t="s">
        <v>8</v>
      </c>
      <c r="M78" s="5" t="s">
        <v>2</v>
      </c>
      <c r="N78" s="6">
        <v>44102</v>
      </c>
      <c r="O78" s="7">
        <v>1681.45</v>
      </c>
      <c r="P78" s="6">
        <v>44104</v>
      </c>
      <c r="Q78" s="7">
        <v>1731.3</v>
      </c>
      <c r="R78" s="5">
        <v>300</v>
      </c>
      <c r="S78" s="13">
        <f t="shared" si="17"/>
        <v>14954.999999999973</v>
      </c>
      <c r="T78" s="9" t="str">
        <f t="shared" ref="T78:T88" si="18">IF(S78&lt;0,"FAILED","PASS")</f>
        <v>PASS</v>
      </c>
    </row>
    <row r="79" spans="2:20" x14ac:dyDescent="0.3">
      <c r="B79" s="4" t="s">
        <v>10</v>
      </c>
      <c r="D79" s="18">
        <f t="shared" si="13"/>
        <v>288.67999999999995</v>
      </c>
      <c r="E79" s="1">
        <f t="shared" si="14"/>
        <v>312.66999999999996</v>
      </c>
      <c r="F79" s="8">
        <f t="shared" si="15"/>
        <v>324.66499999999996</v>
      </c>
      <c r="G79" s="23">
        <v>336.65999999999997</v>
      </c>
      <c r="H79" s="19">
        <v>348.65</v>
      </c>
      <c r="I79" s="20">
        <v>360.65</v>
      </c>
      <c r="J79" s="7">
        <f t="shared" si="16"/>
        <v>372.65</v>
      </c>
      <c r="L79" s="4" t="s">
        <v>9</v>
      </c>
      <c r="M79" s="5" t="s">
        <v>2</v>
      </c>
      <c r="N79" s="6">
        <v>44103</v>
      </c>
      <c r="O79" s="7">
        <v>1062.55</v>
      </c>
      <c r="P79" s="6">
        <v>44105</v>
      </c>
      <c r="Q79" s="7">
        <v>1095.2</v>
      </c>
      <c r="R79" s="5">
        <v>550</v>
      </c>
      <c r="S79" s="13">
        <f t="shared" si="17"/>
        <v>17957.500000000051</v>
      </c>
      <c r="T79" s="9" t="str">
        <f t="shared" si="18"/>
        <v>PASS</v>
      </c>
    </row>
    <row r="80" spans="2:20" x14ac:dyDescent="0.3">
      <c r="B80" s="4" t="s">
        <v>11</v>
      </c>
      <c r="D80" s="18">
        <f t="shared" si="13"/>
        <v>873.98</v>
      </c>
      <c r="E80" s="1">
        <f t="shared" si="14"/>
        <v>928.97</v>
      </c>
      <c r="F80" s="8">
        <f t="shared" si="15"/>
        <v>956.46500000000003</v>
      </c>
      <c r="G80" s="23">
        <v>983.96</v>
      </c>
      <c r="H80" s="19">
        <v>1011.45</v>
      </c>
      <c r="I80" s="20">
        <v>1038.95</v>
      </c>
      <c r="J80" s="7">
        <f t="shared" si="16"/>
        <v>1066.45</v>
      </c>
      <c r="L80" s="4" t="s">
        <v>10</v>
      </c>
      <c r="M80" s="5" t="s">
        <v>2</v>
      </c>
      <c r="N80" s="6">
        <v>44102</v>
      </c>
      <c r="O80" s="7">
        <v>363</v>
      </c>
      <c r="P80" s="6">
        <v>44109</v>
      </c>
      <c r="Q80" s="7">
        <v>372.65</v>
      </c>
      <c r="R80" s="5">
        <v>1375</v>
      </c>
      <c r="S80" s="13">
        <f t="shared" si="17"/>
        <v>13268.749999999969</v>
      </c>
      <c r="T80" s="9" t="str">
        <f t="shared" si="18"/>
        <v>PASS</v>
      </c>
    </row>
    <row r="81" spans="2:20" x14ac:dyDescent="0.3">
      <c r="B81" s="4" t="s">
        <v>12</v>
      </c>
      <c r="D81" s="18">
        <f t="shared" si="13"/>
        <v>149.37999999999997</v>
      </c>
      <c r="E81" s="1">
        <f t="shared" si="14"/>
        <v>157.92999999999998</v>
      </c>
      <c r="F81" s="8">
        <f t="shared" si="15"/>
        <v>162.20499999999998</v>
      </c>
      <c r="G81" s="23">
        <v>166.48</v>
      </c>
      <c r="H81" s="19">
        <v>170.75</v>
      </c>
      <c r="I81" s="20">
        <v>175.03</v>
      </c>
      <c r="J81" s="7">
        <f t="shared" si="16"/>
        <v>179.31</v>
      </c>
      <c r="L81" s="4" t="s">
        <v>11</v>
      </c>
      <c r="M81" s="5" t="s">
        <v>2</v>
      </c>
      <c r="N81" s="6">
        <v>44109</v>
      </c>
      <c r="O81" s="7">
        <v>1048.7</v>
      </c>
      <c r="P81" s="6">
        <v>44111</v>
      </c>
      <c r="Q81" s="7">
        <v>1066.45</v>
      </c>
      <c r="R81" s="14">
        <v>1200</v>
      </c>
      <c r="S81" s="8">
        <f t="shared" si="17"/>
        <v>21300</v>
      </c>
      <c r="T81" s="15" t="str">
        <f t="shared" si="18"/>
        <v>PASS</v>
      </c>
    </row>
    <row r="82" spans="2:20" x14ac:dyDescent="0.3">
      <c r="B82" s="4" t="s">
        <v>13</v>
      </c>
      <c r="D82" s="18">
        <f t="shared" si="13"/>
        <v>5499.4299999999994</v>
      </c>
      <c r="E82" s="1">
        <f t="shared" si="14"/>
        <v>5898.74</v>
      </c>
      <c r="F82" s="8">
        <f t="shared" si="15"/>
        <v>6098.3950000000004</v>
      </c>
      <c r="G82" s="23">
        <v>6298.05</v>
      </c>
      <c r="H82" s="19">
        <v>6497.7</v>
      </c>
      <c r="I82" s="20">
        <v>6697.3600000000006</v>
      </c>
      <c r="J82" s="7">
        <f t="shared" si="16"/>
        <v>6897.0200000000013</v>
      </c>
      <c r="L82" s="4" t="s">
        <v>12</v>
      </c>
      <c r="M82" s="5" t="s">
        <v>2</v>
      </c>
      <c r="N82" s="6">
        <v>44116</v>
      </c>
      <c r="O82" s="7">
        <v>172.2</v>
      </c>
      <c r="P82" s="6">
        <v>44119</v>
      </c>
      <c r="Q82" s="7">
        <v>166.4</v>
      </c>
      <c r="R82" s="5">
        <v>3200</v>
      </c>
      <c r="S82" s="13">
        <f t="shared" si="17"/>
        <v>-18559.999999999945</v>
      </c>
      <c r="T82" s="9" t="str">
        <f t="shared" si="18"/>
        <v>FAILED</v>
      </c>
    </row>
    <row r="83" spans="2:20" x14ac:dyDescent="0.3">
      <c r="B83" s="4" t="s">
        <v>14</v>
      </c>
      <c r="D83" s="18">
        <f t="shared" si="13"/>
        <v>1876.23</v>
      </c>
      <c r="E83" s="1">
        <f t="shared" si="14"/>
        <v>2006.42</v>
      </c>
      <c r="F83" s="8">
        <f t="shared" si="15"/>
        <v>2071.5150000000003</v>
      </c>
      <c r="G83" s="23">
        <v>2136.61</v>
      </c>
      <c r="H83" s="19">
        <v>2201.6999999999998</v>
      </c>
      <c r="I83" s="20">
        <v>2266.8000000000002</v>
      </c>
      <c r="J83" s="7">
        <f t="shared" si="16"/>
        <v>2331.9000000000005</v>
      </c>
      <c r="L83" s="4" t="s">
        <v>13</v>
      </c>
      <c r="M83" s="5" t="s">
        <v>2</v>
      </c>
      <c r="N83" s="6">
        <v>44102</v>
      </c>
      <c r="O83" s="7">
        <v>6703</v>
      </c>
      <c r="P83" s="6">
        <v>44105</v>
      </c>
      <c r="Q83" s="7">
        <v>6897</v>
      </c>
      <c r="R83" s="5">
        <v>100</v>
      </c>
      <c r="S83" s="13">
        <f t="shared" si="17"/>
        <v>19400</v>
      </c>
      <c r="T83" s="9" t="str">
        <f t="shared" si="18"/>
        <v>PASS</v>
      </c>
    </row>
    <row r="84" spans="2:20" x14ac:dyDescent="0.3">
      <c r="B84" s="4" t="s">
        <v>15</v>
      </c>
      <c r="D84" s="18">
        <f t="shared" si="13"/>
        <v>148.68</v>
      </c>
      <c r="E84" s="1">
        <f t="shared" si="14"/>
        <v>162.09</v>
      </c>
      <c r="F84" s="8">
        <f t="shared" si="15"/>
        <v>168.79500000000002</v>
      </c>
      <c r="G84" s="23">
        <v>175.5</v>
      </c>
      <c r="H84" s="19">
        <v>182.2</v>
      </c>
      <c r="I84" s="20">
        <v>188.91</v>
      </c>
      <c r="J84" s="7">
        <f t="shared" si="16"/>
        <v>195.62</v>
      </c>
      <c r="L84" s="4" t="s">
        <v>14</v>
      </c>
      <c r="M84" s="5" t="s">
        <v>2</v>
      </c>
      <c r="N84" s="6">
        <v>44104</v>
      </c>
      <c r="O84" s="7">
        <v>2234.35</v>
      </c>
      <c r="P84" s="6">
        <v>44110</v>
      </c>
      <c r="Q84" s="7">
        <v>2201.6999999999998</v>
      </c>
      <c r="R84" s="5">
        <v>505</v>
      </c>
      <c r="S84" s="13">
        <f t="shared" si="17"/>
        <v>-16488.250000000047</v>
      </c>
      <c r="T84" s="9" t="str">
        <f t="shared" si="18"/>
        <v>FAILED</v>
      </c>
    </row>
    <row r="85" spans="2:20" x14ac:dyDescent="0.3">
      <c r="B85" s="4" t="s">
        <v>16</v>
      </c>
      <c r="D85" s="18">
        <f t="shared" si="13"/>
        <v>397.03</v>
      </c>
      <c r="E85" s="1">
        <f t="shared" si="14"/>
        <v>434.08</v>
      </c>
      <c r="F85" s="8">
        <f t="shared" si="15"/>
        <v>452.60500000000002</v>
      </c>
      <c r="G85" s="23">
        <v>471.13</v>
      </c>
      <c r="H85" s="19">
        <v>489.65</v>
      </c>
      <c r="I85" s="20">
        <v>508.18</v>
      </c>
      <c r="J85" s="7">
        <f t="shared" si="16"/>
        <v>526.71</v>
      </c>
      <c r="L85" s="4" t="s">
        <v>15</v>
      </c>
      <c r="M85" s="5" t="s">
        <v>2</v>
      </c>
      <c r="N85" s="6">
        <v>44103</v>
      </c>
      <c r="O85" s="7">
        <v>185.05</v>
      </c>
      <c r="P85" s="6">
        <v>44112</v>
      </c>
      <c r="Q85" s="7">
        <v>195.6</v>
      </c>
      <c r="R85" s="5">
        <v>3000</v>
      </c>
      <c r="S85" s="13">
        <f t="shared" si="17"/>
        <v>31649.999999999949</v>
      </c>
      <c r="T85" s="9" t="str">
        <f t="shared" si="18"/>
        <v>PASS</v>
      </c>
    </row>
    <row r="86" spans="2:20" x14ac:dyDescent="0.3">
      <c r="B86" s="4" t="s">
        <v>17</v>
      </c>
      <c r="D86" s="18">
        <f t="shared" si="13"/>
        <v>135.38</v>
      </c>
      <c r="E86" s="1">
        <f t="shared" si="14"/>
        <v>160.51</v>
      </c>
      <c r="F86" s="8">
        <f t="shared" si="15"/>
        <v>173.07499999999999</v>
      </c>
      <c r="G86" s="23">
        <v>185.64</v>
      </c>
      <c r="H86" s="19">
        <v>198.2</v>
      </c>
      <c r="I86" s="20">
        <v>210.76999999999998</v>
      </c>
      <c r="J86" s="7">
        <f t="shared" si="16"/>
        <v>223.33999999999997</v>
      </c>
      <c r="L86" s="4" t="s">
        <v>16</v>
      </c>
      <c r="M86" s="5" t="s">
        <v>2</v>
      </c>
      <c r="N86" s="6">
        <v>44102</v>
      </c>
      <c r="O86" s="7">
        <v>510.1</v>
      </c>
      <c r="P86" s="6">
        <v>44110</v>
      </c>
      <c r="Q86" s="7">
        <v>526.70000000000005</v>
      </c>
      <c r="R86" s="5">
        <v>1400</v>
      </c>
      <c r="S86" s="13">
        <f t="shared" si="17"/>
        <v>23240.000000000033</v>
      </c>
      <c r="T86" s="9" t="str">
        <f t="shared" si="18"/>
        <v>PASS</v>
      </c>
    </row>
    <row r="87" spans="2:20" x14ac:dyDescent="0.3">
      <c r="B87" s="21"/>
      <c r="D87" s="17"/>
      <c r="E87" s="17"/>
      <c r="F87" s="17"/>
      <c r="G87" s="17"/>
      <c r="H87" s="17"/>
      <c r="I87" s="17"/>
      <c r="J87" s="17"/>
      <c r="L87" s="4" t="s">
        <v>17</v>
      </c>
      <c r="M87" s="5" t="s">
        <v>2</v>
      </c>
      <c r="N87" s="6">
        <v>44104</v>
      </c>
      <c r="O87" s="7">
        <v>208.9</v>
      </c>
      <c r="P87" s="6">
        <v>44113</v>
      </c>
      <c r="Q87" s="7">
        <v>198.2</v>
      </c>
      <c r="R87" s="5">
        <v>3000</v>
      </c>
      <c r="S87" s="13">
        <f t="shared" si="17"/>
        <v>-32100.000000000051</v>
      </c>
      <c r="T87" s="9" t="str">
        <f t="shared" si="18"/>
        <v>FAILED</v>
      </c>
    </row>
    <row r="88" spans="2:20" x14ac:dyDescent="0.3">
      <c r="B88" s="4" t="s">
        <v>18</v>
      </c>
      <c r="D88" s="18">
        <f>E88-(G88-E88)</f>
        <v>10211.93</v>
      </c>
      <c r="E88" s="1">
        <f>G88-(I88-G88)</f>
        <v>10547.26</v>
      </c>
      <c r="F88" s="8">
        <f>AVERAGE(E88,G88)</f>
        <v>10714.924999999999</v>
      </c>
      <c r="G88" s="23">
        <v>10882.59</v>
      </c>
      <c r="H88" s="19">
        <v>11050.25</v>
      </c>
      <c r="I88" s="20">
        <v>11217.92</v>
      </c>
      <c r="J88" s="7">
        <f>I88+(I88-H88)</f>
        <v>11385.59</v>
      </c>
      <c r="L88" s="4" t="s">
        <v>17</v>
      </c>
      <c r="M88" s="5" t="s">
        <v>1</v>
      </c>
      <c r="N88" s="6">
        <v>44125</v>
      </c>
      <c r="O88" s="7">
        <v>185.6</v>
      </c>
      <c r="P88" s="6">
        <v>44133</v>
      </c>
      <c r="Q88" s="7">
        <v>179.1</v>
      </c>
      <c r="R88" s="5">
        <v>3000</v>
      </c>
      <c r="S88" s="13">
        <f t="shared" si="17"/>
        <v>19500</v>
      </c>
      <c r="T88" s="9" t="str">
        <f t="shared" si="18"/>
        <v>PASS</v>
      </c>
    </row>
    <row r="90" spans="2:20" x14ac:dyDescent="0.3">
      <c r="L90" s="4" t="s">
        <v>18</v>
      </c>
      <c r="M90" s="5" t="s">
        <v>2</v>
      </c>
      <c r="N90" s="6">
        <v>44102</v>
      </c>
      <c r="O90" s="7">
        <v>11227.55</v>
      </c>
      <c r="P90" s="6">
        <v>44105</v>
      </c>
      <c r="Q90" s="7">
        <v>11385.5</v>
      </c>
      <c r="R90" s="5">
        <v>75</v>
      </c>
      <c r="S90" s="13">
        <f>IF(M90="BUY",(R90*(Q90-O90)),(R90*(O90-Q90)))</f>
        <v>11846.250000000055</v>
      </c>
      <c r="T90" s="9" t="str">
        <f>IF(S90&lt;0,"FAILED","PASS")</f>
        <v>PASS</v>
      </c>
    </row>
    <row r="92" spans="2:20" x14ac:dyDescent="0.3">
      <c r="Q92" s="11" t="s">
        <v>19</v>
      </c>
      <c r="S92" s="12">
        <f>SUM(S75:S90)</f>
        <v>106914.24999999997</v>
      </c>
    </row>
    <row r="106" spans="2:20" x14ac:dyDescent="0.3">
      <c r="G106" s="129" t="s">
        <v>38</v>
      </c>
      <c r="H106" s="130"/>
      <c r="O106" s="131" t="s">
        <v>24</v>
      </c>
      <c r="P106" s="131"/>
      <c r="T106" s="2" t="s">
        <v>4</v>
      </c>
    </row>
    <row r="107" spans="2:20" x14ac:dyDescent="0.3">
      <c r="D107" s="32" t="s">
        <v>29</v>
      </c>
      <c r="E107" s="32" t="s">
        <v>30</v>
      </c>
      <c r="F107" s="32" t="s">
        <v>31</v>
      </c>
      <c r="G107" s="35" t="s">
        <v>32</v>
      </c>
      <c r="H107" s="32" t="s">
        <v>0</v>
      </c>
      <c r="I107" s="32" t="s">
        <v>34</v>
      </c>
      <c r="J107" s="32" t="s">
        <v>30</v>
      </c>
      <c r="T107" s="3" t="s">
        <v>25</v>
      </c>
    </row>
    <row r="108" spans="2:20" x14ac:dyDescent="0.3">
      <c r="B108" s="4" t="s">
        <v>6</v>
      </c>
      <c r="D108" s="18">
        <f t="shared" ref="D108:D119" si="19">E108-(G108-E108)</f>
        <v>99.429999999999978</v>
      </c>
      <c r="E108" s="1">
        <f t="shared" ref="E108:E119" si="20">G108-(I108-G108)</f>
        <v>105.33999999999999</v>
      </c>
      <c r="F108" s="8">
        <f t="shared" ref="F108:F119" si="21">AVERAGE(E108,G108)</f>
        <v>108.29499999999999</v>
      </c>
      <c r="G108" s="23">
        <v>111.25</v>
      </c>
      <c r="H108" s="19">
        <v>114.2</v>
      </c>
      <c r="I108" s="20">
        <v>117.16000000000001</v>
      </c>
      <c r="J108" s="7">
        <f t="shared" ref="J108:J119" si="22">I108+(I108-H108)</f>
        <v>120.12000000000002</v>
      </c>
      <c r="L108" s="4" t="s">
        <v>6</v>
      </c>
      <c r="M108" s="5" t="s">
        <v>2</v>
      </c>
      <c r="N108" s="6">
        <v>44138</v>
      </c>
      <c r="O108" s="7">
        <v>116.5</v>
      </c>
      <c r="P108" s="6">
        <v>44139</v>
      </c>
      <c r="Q108" s="7">
        <v>114.2</v>
      </c>
      <c r="R108" s="5">
        <v>3700</v>
      </c>
      <c r="S108" s="8">
        <f t="shared" ref="S108:S119" si="23">IF(M108="BUY",(R108*(Q108-O108)),(R108*(O108-Q108)))</f>
        <v>-8509.9999999999891</v>
      </c>
      <c r="T108" s="9" t="str">
        <f>IF(S108&lt;0,"FAILED",IF(S108=0,"NOTRADE","PASS"))</f>
        <v>FAILED</v>
      </c>
    </row>
    <row r="109" spans="2:20" x14ac:dyDescent="0.3">
      <c r="B109" s="4" t="s">
        <v>7</v>
      </c>
      <c r="D109" s="18">
        <f t="shared" si="19"/>
        <v>126.93000000000004</v>
      </c>
      <c r="E109" s="1">
        <f t="shared" si="20"/>
        <v>139.48000000000002</v>
      </c>
      <c r="F109" s="8">
        <f t="shared" si="21"/>
        <v>145.755</v>
      </c>
      <c r="G109" s="23">
        <v>152.03</v>
      </c>
      <c r="H109" s="19">
        <v>158.30000000000001</v>
      </c>
      <c r="I109" s="20">
        <v>164.57999999999998</v>
      </c>
      <c r="J109" s="7">
        <f t="shared" si="22"/>
        <v>170.85999999999996</v>
      </c>
      <c r="L109" s="4" t="s">
        <v>7</v>
      </c>
      <c r="M109" s="5" t="s">
        <v>2</v>
      </c>
      <c r="N109" s="6">
        <v>44137</v>
      </c>
      <c r="O109" s="7">
        <v>164.8</v>
      </c>
      <c r="P109" s="6">
        <v>44144</v>
      </c>
      <c r="Q109" s="7">
        <v>170.8</v>
      </c>
      <c r="R109" s="5">
        <v>3300</v>
      </c>
      <c r="S109" s="8">
        <f t="shared" si="23"/>
        <v>19800</v>
      </c>
      <c r="T109" s="9" t="str">
        <f>IF(S109&lt;0,"FAILED",IF(S109=0,"NOTRADE","PASS"))</f>
        <v>PASS</v>
      </c>
    </row>
    <row r="110" spans="2:20" x14ac:dyDescent="0.3">
      <c r="B110" s="4" t="s">
        <v>8</v>
      </c>
      <c r="D110" s="18">
        <f t="shared" si="19"/>
        <v>1642.6799999999996</v>
      </c>
      <c r="E110" s="1">
        <f t="shared" si="20"/>
        <v>1755.0299999999997</v>
      </c>
      <c r="F110" s="8">
        <f t="shared" si="21"/>
        <v>1811.2049999999999</v>
      </c>
      <c r="G110" s="23">
        <v>1867.3799999999999</v>
      </c>
      <c r="H110" s="19">
        <v>1923.55</v>
      </c>
      <c r="I110" s="20">
        <v>1979.73</v>
      </c>
      <c r="J110" s="7">
        <f t="shared" si="22"/>
        <v>2035.91</v>
      </c>
      <c r="L110" s="4" t="s">
        <v>8</v>
      </c>
      <c r="M110" s="5" t="s">
        <v>2</v>
      </c>
      <c r="N110" s="6">
        <v>44137</v>
      </c>
      <c r="O110" s="7">
        <v>2040.8</v>
      </c>
      <c r="P110" s="6">
        <v>44138</v>
      </c>
      <c r="Q110" s="7">
        <v>2092</v>
      </c>
      <c r="R110" s="5">
        <v>300</v>
      </c>
      <c r="S110" s="13">
        <f t="shared" si="23"/>
        <v>15360.000000000015</v>
      </c>
      <c r="T110" s="9" t="str">
        <f t="shared" ref="T110:T119" si="24">IF(S110&lt;0,"FAILED","PASS")</f>
        <v>PASS</v>
      </c>
    </row>
    <row r="111" spans="2:20" x14ac:dyDescent="0.3">
      <c r="B111" s="4" t="s">
        <v>9</v>
      </c>
      <c r="D111" s="18">
        <f t="shared" si="19"/>
        <v>1024.9799999999998</v>
      </c>
      <c r="E111" s="1">
        <f t="shared" si="20"/>
        <v>1088.4099999999999</v>
      </c>
      <c r="F111" s="8">
        <f t="shared" si="21"/>
        <v>1120.125</v>
      </c>
      <c r="G111" s="23">
        <v>1151.8399999999999</v>
      </c>
      <c r="H111" s="19">
        <v>1183.55</v>
      </c>
      <c r="I111" s="20">
        <v>1215.27</v>
      </c>
      <c r="J111" s="7">
        <f t="shared" si="22"/>
        <v>1246.99</v>
      </c>
      <c r="L111" s="4" t="s">
        <v>9</v>
      </c>
      <c r="M111" s="5" t="s">
        <v>2</v>
      </c>
      <c r="N111" s="6">
        <v>44137</v>
      </c>
      <c r="O111" s="7">
        <v>1215.25</v>
      </c>
      <c r="P111" s="6">
        <v>44138</v>
      </c>
      <c r="Q111" s="7">
        <v>1246.9000000000001</v>
      </c>
      <c r="R111" s="5">
        <v>550</v>
      </c>
      <c r="S111" s="13">
        <f t="shared" si="23"/>
        <v>17407.500000000051</v>
      </c>
      <c r="T111" s="9" t="str">
        <f t="shared" si="24"/>
        <v>PASS</v>
      </c>
    </row>
    <row r="112" spans="2:20" x14ac:dyDescent="0.3">
      <c r="B112" s="4" t="s">
        <v>10</v>
      </c>
      <c r="D112" s="18">
        <f t="shared" si="19"/>
        <v>326.83</v>
      </c>
      <c r="E112" s="1">
        <f t="shared" si="20"/>
        <v>353.14</v>
      </c>
      <c r="F112" s="8">
        <f t="shared" si="21"/>
        <v>366.29499999999996</v>
      </c>
      <c r="G112" s="23">
        <v>379.45</v>
      </c>
      <c r="H112" s="19">
        <v>392.6</v>
      </c>
      <c r="I112" s="20">
        <v>405.76</v>
      </c>
      <c r="J112" s="7">
        <f t="shared" si="22"/>
        <v>418.91999999999996</v>
      </c>
      <c r="L112" s="4" t="s">
        <v>10</v>
      </c>
      <c r="M112" s="5" t="s">
        <v>2</v>
      </c>
      <c r="N112" s="6">
        <v>44137</v>
      </c>
      <c r="O112" s="7">
        <v>417.45</v>
      </c>
      <c r="P112" s="6">
        <v>44138</v>
      </c>
      <c r="Q112" s="7">
        <v>432</v>
      </c>
      <c r="R112" s="5">
        <v>1375</v>
      </c>
      <c r="S112" s="13">
        <f t="shared" si="23"/>
        <v>20006.250000000015</v>
      </c>
      <c r="T112" s="9" t="str">
        <f t="shared" si="24"/>
        <v>PASS</v>
      </c>
    </row>
    <row r="113" spans="2:20" x14ac:dyDescent="0.3">
      <c r="B113" s="4" t="s">
        <v>11</v>
      </c>
      <c r="D113" s="18">
        <f t="shared" si="19"/>
        <v>899.83000000000015</v>
      </c>
      <c r="E113" s="1">
        <f t="shared" si="20"/>
        <v>964.1400000000001</v>
      </c>
      <c r="F113" s="8">
        <f t="shared" si="21"/>
        <v>996.29500000000007</v>
      </c>
      <c r="G113" s="23">
        <v>1028.45</v>
      </c>
      <c r="H113" s="19">
        <v>1060.5999999999999</v>
      </c>
      <c r="I113" s="20">
        <v>1092.76</v>
      </c>
      <c r="J113" s="7">
        <f t="shared" si="22"/>
        <v>1124.92</v>
      </c>
      <c r="L113" s="4" t="s">
        <v>11</v>
      </c>
      <c r="M113" s="5" t="s">
        <v>2</v>
      </c>
      <c r="N113" s="6">
        <v>44139</v>
      </c>
      <c r="O113" s="7">
        <v>1093.95</v>
      </c>
      <c r="P113" s="6">
        <v>44144</v>
      </c>
      <c r="Q113" s="7">
        <v>1124.9000000000001</v>
      </c>
      <c r="R113" s="5">
        <v>1200</v>
      </c>
      <c r="S113" s="13">
        <f t="shared" si="23"/>
        <v>37140.000000000058</v>
      </c>
      <c r="T113" s="9" t="str">
        <f t="shared" si="24"/>
        <v>PASS</v>
      </c>
    </row>
    <row r="114" spans="2:20" x14ac:dyDescent="0.3">
      <c r="B114" s="4" t="s">
        <v>12</v>
      </c>
      <c r="D114" s="18">
        <f t="shared" si="19"/>
        <v>149.47999999999999</v>
      </c>
      <c r="E114" s="1">
        <f t="shared" si="20"/>
        <v>155.79</v>
      </c>
      <c r="F114" s="8">
        <f t="shared" si="21"/>
        <v>158.94499999999999</v>
      </c>
      <c r="G114" s="23">
        <v>162.1</v>
      </c>
      <c r="H114" s="19">
        <v>165.25</v>
      </c>
      <c r="I114" s="20">
        <v>168.41</v>
      </c>
      <c r="J114" s="7">
        <f t="shared" si="22"/>
        <v>171.57</v>
      </c>
      <c r="L114" s="4" t="s">
        <v>12</v>
      </c>
      <c r="M114" s="5" t="s">
        <v>2</v>
      </c>
      <c r="N114" s="6">
        <v>44138</v>
      </c>
      <c r="O114" s="7">
        <v>170.1</v>
      </c>
      <c r="P114" s="6">
        <v>44139</v>
      </c>
      <c r="Q114" s="7">
        <v>168.25</v>
      </c>
      <c r="R114" s="14">
        <v>3200</v>
      </c>
      <c r="S114" s="8">
        <f t="shared" si="23"/>
        <v>-5919.9999999999818</v>
      </c>
      <c r="T114" s="15" t="str">
        <f t="shared" si="24"/>
        <v>FAILED</v>
      </c>
    </row>
    <row r="115" spans="2:20" x14ac:dyDescent="0.3">
      <c r="B115" s="4" t="s">
        <v>13</v>
      </c>
      <c r="D115" s="18">
        <f t="shared" si="19"/>
        <v>6109.2300000000005</v>
      </c>
      <c r="E115" s="1">
        <f t="shared" si="20"/>
        <v>6451.6</v>
      </c>
      <c r="F115" s="8">
        <f t="shared" si="21"/>
        <v>6622.7849999999999</v>
      </c>
      <c r="G115" s="23">
        <v>6793.97</v>
      </c>
      <c r="H115" s="19">
        <v>6965.15</v>
      </c>
      <c r="I115" s="20">
        <v>7136.34</v>
      </c>
      <c r="J115" s="7">
        <f t="shared" si="22"/>
        <v>7307.5300000000007</v>
      </c>
      <c r="L115" s="4" t="s">
        <v>13</v>
      </c>
      <c r="M115" s="5" t="s">
        <v>2</v>
      </c>
      <c r="N115" s="6">
        <v>44159</v>
      </c>
      <c r="O115" s="7">
        <v>7158.4</v>
      </c>
      <c r="P115" s="6">
        <v>44161</v>
      </c>
      <c r="Q115" s="7">
        <v>6965.15</v>
      </c>
      <c r="R115" s="5">
        <v>100</v>
      </c>
      <c r="S115" s="13">
        <f t="shared" si="23"/>
        <v>-19325</v>
      </c>
      <c r="T115" s="9" t="str">
        <f t="shared" si="24"/>
        <v>FAILED</v>
      </c>
    </row>
    <row r="116" spans="2:20" x14ac:dyDescent="0.3">
      <c r="B116" s="4" t="s">
        <v>14</v>
      </c>
      <c r="D116" s="18">
        <f t="shared" si="19"/>
        <v>1791.0299999999993</v>
      </c>
      <c r="E116" s="1">
        <f t="shared" si="20"/>
        <v>1896.4199999999996</v>
      </c>
      <c r="F116" s="8">
        <f t="shared" si="21"/>
        <v>1949.1149999999998</v>
      </c>
      <c r="G116" s="23">
        <v>2001.81</v>
      </c>
      <c r="H116" s="19">
        <v>2054.5</v>
      </c>
      <c r="I116" s="20">
        <v>2107.2000000000003</v>
      </c>
      <c r="J116" s="7">
        <f t="shared" si="22"/>
        <v>2159.9000000000005</v>
      </c>
      <c r="L116" s="4" t="s">
        <v>14</v>
      </c>
      <c r="M116" s="5" t="s">
        <v>1</v>
      </c>
      <c r="N116" s="6">
        <v>44141</v>
      </c>
      <c r="O116" s="7">
        <v>2001.8</v>
      </c>
      <c r="P116" s="6">
        <v>44144</v>
      </c>
      <c r="Q116" s="7">
        <v>2054.5</v>
      </c>
      <c r="R116" s="5">
        <v>505</v>
      </c>
      <c r="S116" s="8">
        <f t="shared" si="23"/>
        <v>-26613.500000000022</v>
      </c>
      <c r="T116" s="9" t="str">
        <f t="shared" si="24"/>
        <v>FAILED</v>
      </c>
    </row>
    <row r="117" spans="2:20" x14ac:dyDescent="0.3">
      <c r="B117" s="4" t="s">
        <v>15</v>
      </c>
      <c r="D117" s="18">
        <f t="shared" si="19"/>
        <v>158.93</v>
      </c>
      <c r="E117" s="1">
        <f t="shared" si="20"/>
        <v>171.06</v>
      </c>
      <c r="F117" s="8">
        <f t="shared" si="21"/>
        <v>177.125</v>
      </c>
      <c r="G117" s="23">
        <v>183.19</v>
      </c>
      <c r="H117" s="19">
        <v>189.25</v>
      </c>
      <c r="I117" s="20">
        <v>195.32</v>
      </c>
      <c r="J117" s="7">
        <f t="shared" si="22"/>
        <v>201.39</v>
      </c>
      <c r="L117" s="4" t="s">
        <v>15</v>
      </c>
      <c r="M117" s="5" t="s">
        <v>2</v>
      </c>
      <c r="N117" s="6">
        <v>44137</v>
      </c>
      <c r="O117" s="16">
        <v>196.05</v>
      </c>
      <c r="P117" s="6">
        <v>44138</v>
      </c>
      <c r="Q117" s="7">
        <v>201.3</v>
      </c>
      <c r="R117" s="5">
        <v>3000</v>
      </c>
      <c r="S117" s="13">
        <f t="shared" si="23"/>
        <v>15750</v>
      </c>
      <c r="T117" s="5" t="str">
        <f t="shared" si="24"/>
        <v>PASS</v>
      </c>
    </row>
    <row r="118" spans="2:20" x14ac:dyDescent="0.3">
      <c r="B118" s="4" t="s">
        <v>16</v>
      </c>
      <c r="D118" s="18">
        <f t="shared" si="19"/>
        <v>404.33</v>
      </c>
      <c r="E118" s="1">
        <f t="shared" si="20"/>
        <v>428.9</v>
      </c>
      <c r="F118" s="8">
        <f t="shared" si="21"/>
        <v>441.18499999999995</v>
      </c>
      <c r="G118" s="23">
        <v>453.46999999999997</v>
      </c>
      <c r="H118" s="19">
        <v>465.75</v>
      </c>
      <c r="I118" s="20">
        <v>478.03999999999996</v>
      </c>
      <c r="J118" s="7">
        <f t="shared" si="22"/>
        <v>490.32999999999993</v>
      </c>
      <c r="L118" s="4" t="s">
        <v>16</v>
      </c>
      <c r="M118" s="5" t="s">
        <v>2</v>
      </c>
      <c r="N118" s="6">
        <v>44138</v>
      </c>
      <c r="O118" s="7">
        <v>485.6</v>
      </c>
      <c r="P118" s="6">
        <v>44139</v>
      </c>
      <c r="Q118" s="7">
        <v>502.6</v>
      </c>
      <c r="R118" s="14">
        <v>1400</v>
      </c>
      <c r="S118" s="13">
        <f t="shared" si="23"/>
        <v>23800</v>
      </c>
      <c r="T118" s="9" t="str">
        <f t="shared" si="24"/>
        <v>PASS</v>
      </c>
    </row>
    <row r="119" spans="2:20" x14ac:dyDescent="0.3">
      <c r="B119" s="4" t="s">
        <v>17</v>
      </c>
      <c r="D119" s="18">
        <f t="shared" si="19"/>
        <v>141.03</v>
      </c>
      <c r="E119" s="1">
        <f t="shared" si="20"/>
        <v>159.78</v>
      </c>
      <c r="F119" s="8">
        <f t="shared" si="21"/>
        <v>169.155</v>
      </c>
      <c r="G119" s="23">
        <v>178.53</v>
      </c>
      <c r="H119" s="19">
        <v>187.9</v>
      </c>
      <c r="I119" s="20">
        <v>197.28</v>
      </c>
      <c r="J119" s="7">
        <f t="shared" si="22"/>
        <v>206.66</v>
      </c>
      <c r="L119" s="4" t="s">
        <v>17</v>
      </c>
      <c r="M119" s="5" t="s">
        <v>2</v>
      </c>
      <c r="N119" s="6">
        <v>44146</v>
      </c>
      <c r="O119" s="7">
        <v>195.3</v>
      </c>
      <c r="P119" s="6">
        <v>44153</v>
      </c>
      <c r="Q119" s="7">
        <v>187.9</v>
      </c>
      <c r="R119" s="5">
        <v>3000</v>
      </c>
      <c r="S119" s="8">
        <f t="shared" si="23"/>
        <v>-22200.000000000018</v>
      </c>
      <c r="T119" s="9" t="str">
        <f t="shared" si="24"/>
        <v>FAILED</v>
      </c>
    </row>
    <row r="120" spans="2:20" x14ac:dyDescent="0.3">
      <c r="B120" s="21"/>
      <c r="D120" s="17"/>
      <c r="E120" s="17"/>
      <c r="F120" s="17"/>
      <c r="G120" s="17"/>
      <c r="H120" s="17"/>
      <c r="I120" s="17"/>
      <c r="J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2:20" x14ac:dyDescent="0.3">
      <c r="B121" s="4" t="s">
        <v>18</v>
      </c>
      <c r="D121" s="18">
        <f>E121-(G121-E121)</f>
        <v>10859.179999999998</v>
      </c>
      <c r="E121" s="1">
        <f>G121-(I121-G121)</f>
        <v>11172.47</v>
      </c>
      <c r="F121" s="8">
        <f>AVERAGE(E121,G121)</f>
        <v>11329.115</v>
      </c>
      <c r="G121" s="23">
        <v>11485.76</v>
      </c>
      <c r="H121" s="19">
        <v>11642.4</v>
      </c>
      <c r="I121" s="20">
        <v>11799.050000000001</v>
      </c>
      <c r="J121" s="7">
        <f>I121+(I121-H121)</f>
        <v>11955.700000000003</v>
      </c>
      <c r="L121" s="4" t="s">
        <v>18</v>
      </c>
      <c r="M121" s="5" t="s">
        <v>2</v>
      </c>
      <c r="N121" s="6">
        <v>44138</v>
      </c>
      <c r="O121" s="7">
        <v>11813.5</v>
      </c>
      <c r="P121" s="6">
        <v>44140</v>
      </c>
      <c r="Q121" s="7">
        <v>12060.65</v>
      </c>
      <c r="R121" s="14">
        <v>75</v>
      </c>
      <c r="S121" s="13">
        <f>IF(M121="BUY",(R121*(Q121-O121)),(R121*(O121-Q121)))</f>
        <v>18536.249999999971</v>
      </c>
      <c r="T121" s="9" t="str">
        <f>IF(S121&lt;0,"FAILED","PASS")</f>
        <v>PASS</v>
      </c>
    </row>
    <row r="123" spans="2:20" x14ac:dyDescent="0.3">
      <c r="Q123" s="11" t="s">
        <v>19</v>
      </c>
      <c r="S123" s="12">
        <f>SUM(S108:S121)</f>
        <v>85231.500000000102</v>
      </c>
    </row>
    <row r="139" spans="2:20" x14ac:dyDescent="0.3">
      <c r="G139" s="129" t="s">
        <v>39</v>
      </c>
      <c r="H139" s="130"/>
      <c r="O139" s="131" t="s">
        <v>26</v>
      </c>
      <c r="P139" s="131"/>
      <c r="T139" s="2" t="s">
        <v>4</v>
      </c>
    </row>
    <row r="140" spans="2:20" x14ac:dyDescent="0.3">
      <c r="D140" s="32" t="s">
        <v>29</v>
      </c>
      <c r="E140" s="32" t="s">
        <v>30</v>
      </c>
      <c r="F140" s="32" t="s">
        <v>31</v>
      </c>
      <c r="G140" s="35" t="s">
        <v>32</v>
      </c>
      <c r="H140" s="32" t="s">
        <v>0</v>
      </c>
      <c r="I140" s="32" t="s">
        <v>34</v>
      </c>
      <c r="J140" s="32" t="s">
        <v>30</v>
      </c>
      <c r="T140" s="3" t="s">
        <v>27</v>
      </c>
    </row>
    <row r="141" spans="2:20" x14ac:dyDescent="0.3">
      <c r="B141" s="4" t="s">
        <v>6</v>
      </c>
      <c r="C141" s="17"/>
      <c r="D141" s="18">
        <f t="shared" ref="D141:D152" si="25">E141-(G141-E141)</f>
        <v>108.28000000000004</v>
      </c>
      <c r="E141" s="1">
        <f t="shared" ref="E141:E152" si="26">G141-(I141-G141)</f>
        <v>115.19000000000003</v>
      </c>
      <c r="F141" s="8">
        <f t="shared" ref="F141:F152" si="27">AVERAGE(E141,G141)</f>
        <v>118.64500000000001</v>
      </c>
      <c r="G141" s="23">
        <v>122.10000000000001</v>
      </c>
      <c r="H141" s="19">
        <v>125.55</v>
      </c>
      <c r="I141" s="20">
        <v>129.01</v>
      </c>
      <c r="J141" s="7">
        <f t="shared" ref="J141:J152" si="28">I141+(I141-H141)</f>
        <v>132.46999999999997</v>
      </c>
      <c r="L141" s="4" t="s">
        <v>6</v>
      </c>
      <c r="M141" s="5" t="s">
        <v>2</v>
      </c>
      <c r="N141" s="6">
        <v>44167</v>
      </c>
      <c r="O141" s="7">
        <v>129.75</v>
      </c>
      <c r="P141" s="6">
        <v>44168</v>
      </c>
      <c r="Q141" s="7">
        <v>132.4</v>
      </c>
      <c r="R141" s="5">
        <v>3700</v>
      </c>
      <c r="S141" s="8">
        <f t="shared" ref="S141:S152" si="29">IF(M141="BUY",(R141*(Q141-O141)),(R141*(O141-Q141)))</f>
        <v>9805.0000000000218</v>
      </c>
      <c r="T141" s="9" t="str">
        <f>IF(S141&lt;0,"FAILED",IF(S141=0,"NOTRADE","PASS"))</f>
        <v>PASS</v>
      </c>
    </row>
    <row r="142" spans="2:20" x14ac:dyDescent="0.3">
      <c r="B142" s="4" t="s">
        <v>7</v>
      </c>
      <c r="C142" s="17"/>
      <c r="D142" s="18">
        <f t="shared" si="25"/>
        <v>147.28</v>
      </c>
      <c r="E142" s="1">
        <f t="shared" si="26"/>
        <v>163.25</v>
      </c>
      <c r="F142" s="8">
        <f t="shared" si="27"/>
        <v>171.23500000000001</v>
      </c>
      <c r="G142" s="23">
        <v>179.22</v>
      </c>
      <c r="H142" s="19">
        <v>187.2</v>
      </c>
      <c r="I142" s="20">
        <v>195.19</v>
      </c>
      <c r="J142" s="7">
        <f t="shared" si="28"/>
        <v>203.18</v>
      </c>
      <c r="L142" s="4" t="s">
        <v>7</v>
      </c>
      <c r="M142" s="5" t="s">
        <v>2</v>
      </c>
      <c r="N142" s="6">
        <v>44166</v>
      </c>
      <c r="O142" s="7">
        <v>195.1</v>
      </c>
      <c r="P142" s="6">
        <v>44168</v>
      </c>
      <c r="Q142" s="7">
        <v>203.1</v>
      </c>
      <c r="R142" s="5">
        <v>3300</v>
      </c>
      <c r="S142" s="8">
        <f t="shared" si="29"/>
        <v>26400</v>
      </c>
      <c r="T142" s="9" t="str">
        <f>IF(S142&lt;0,"FAILED",IF(S142=0,"NOTRADE","PASS"))</f>
        <v>PASS</v>
      </c>
    </row>
    <row r="143" spans="2:20" x14ac:dyDescent="0.3">
      <c r="B143" s="4" t="s">
        <v>8</v>
      </c>
      <c r="C143" s="17"/>
      <c r="D143" s="18">
        <f t="shared" si="25"/>
        <v>1901.4300000000007</v>
      </c>
      <c r="E143" s="1">
        <f t="shared" si="26"/>
        <v>2043.3600000000006</v>
      </c>
      <c r="F143" s="8">
        <f t="shared" si="27"/>
        <v>2114.3250000000007</v>
      </c>
      <c r="G143" s="23">
        <v>2185.2900000000004</v>
      </c>
      <c r="H143" s="19">
        <v>2256.25</v>
      </c>
      <c r="I143" s="20">
        <v>2327.2200000000003</v>
      </c>
      <c r="J143" s="7">
        <f t="shared" si="28"/>
        <v>2398.1900000000005</v>
      </c>
      <c r="L143" s="4" t="s">
        <v>8</v>
      </c>
      <c r="M143" s="5" t="s">
        <v>2</v>
      </c>
      <c r="N143" s="6">
        <v>44173</v>
      </c>
      <c r="O143" s="7">
        <v>2309.75</v>
      </c>
      <c r="P143" s="6">
        <v>44181</v>
      </c>
      <c r="Q143" s="7">
        <v>2398.1</v>
      </c>
      <c r="R143" s="5">
        <v>300</v>
      </c>
      <c r="S143" s="13">
        <f t="shared" si="29"/>
        <v>26504.999999999971</v>
      </c>
      <c r="T143" s="9" t="str">
        <f t="shared" ref="T143:T152" si="30">IF(S143&lt;0,"FAILED","PASS")</f>
        <v>PASS</v>
      </c>
    </row>
    <row r="144" spans="2:20" x14ac:dyDescent="0.3">
      <c r="B144" s="4" t="s">
        <v>9</v>
      </c>
      <c r="C144" s="17"/>
      <c r="D144" s="18">
        <f t="shared" si="25"/>
        <v>1243.28</v>
      </c>
      <c r="E144" s="1">
        <f t="shared" si="26"/>
        <v>1322.31</v>
      </c>
      <c r="F144" s="8">
        <f t="shared" si="27"/>
        <v>1361.8249999999998</v>
      </c>
      <c r="G144" s="23">
        <v>1401.34</v>
      </c>
      <c r="H144" s="19">
        <v>1440.85</v>
      </c>
      <c r="I144" s="20">
        <v>1480.37</v>
      </c>
      <c r="J144" s="7">
        <f t="shared" si="28"/>
        <v>1519.8899999999999</v>
      </c>
      <c r="L144" s="4" t="s">
        <v>9</v>
      </c>
      <c r="M144" s="5" t="s">
        <v>1</v>
      </c>
      <c r="N144" s="6">
        <v>44174</v>
      </c>
      <c r="O144" s="7">
        <v>1401.3</v>
      </c>
      <c r="P144" s="6">
        <v>44182</v>
      </c>
      <c r="Q144" s="7">
        <v>1440.85</v>
      </c>
      <c r="R144" s="5">
        <v>550</v>
      </c>
      <c r="S144" s="13">
        <f t="shared" si="29"/>
        <v>-21752.499999999975</v>
      </c>
      <c r="T144" s="9" t="str">
        <f t="shared" si="30"/>
        <v>FAILED</v>
      </c>
    </row>
    <row r="145" spans="2:20" x14ac:dyDescent="0.3">
      <c r="B145" s="4" t="s">
        <v>10</v>
      </c>
      <c r="C145" s="17"/>
      <c r="D145" s="18">
        <f t="shared" si="25"/>
        <v>396.97999999999996</v>
      </c>
      <c r="E145" s="1">
        <f t="shared" si="26"/>
        <v>427.53</v>
      </c>
      <c r="F145" s="8">
        <f t="shared" si="27"/>
        <v>442.80499999999995</v>
      </c>
      <c r="G145" s="23">
        <v>458.08</v>
      </c>
      <c r="H145" s="19">
        <v>473.35</v>
      </c>
      <c r="I145" s="20">
        <v>488.63</v>
      </c>
      <c r="J145" s="7">
        <f t="shared" si="28"/>
        <v>503.90999999999997</v>
      </c>
      <c r="L145" s="4" t="s">
        <v>10</v>
      </c>
      <c r="M145" s="5" t="s">
        <v>2</v>
      </c>
      <c r="N145" s="6">
        <v>44169</v>
      </c>
      <c r="O145" s="7">
        <v>502.05</v>
      </c>
      <c r="P145" s="6">
        <v>44179</v>
      </c>
      <c r="Q145" s="7">
        <v>519.1</v>
      </c>
      <c r="R145" s="5">
        <v>1375</v>
      </c>
      <c r="S145" s="13">
        <f t="shared" si="29"/>
        <v>23443.750000000015</v>
      </c>
      <c r="T145" s="9" t="str">
        <f t="shared" si="30"/>
        <v>PASS</v>
      </c>
    </row>
    <row r="146" spans="2:20" x14ac:dyDescent="0.3">
      <c r="B146" s="4" t="s">
        <v>11</v>
      </c>
      <c r="C146" s="17"/>
      <c r="D146" s="18">
        <f t="shared" si="25"/>
        <v>954.22999999999956</v>
      </c>
      <c r="E146" s="1">
        <f t="shared" si="26"/>
        <v>1012.5399999999997</v>
      </c>
      <c r="F146" s="8">
        <f t="shared" si="27"/>
        <v>1041.6949999999997</v>
      </c>
      <c r="G146" s="23">
        <v>1070.8499999999999</v>
      </c>
      <c r="H146" s="19">
        <v>1100</v>
      </c>
      <c r="I146" s="20">
        <v>1129.1600000000001</v>
      </c>
      <c r="J146" s="7">
        <f t="shared" si="28"/>
        <v>1158.3200000000002</v>
      </c>
      <c r="L146" s="4" t="s">
        <v>11</v>
      </c>
      <c r="M146" s="5" t="s">
        <v>2</v>
      </c>
      <c r="N146" s="6">
        <v>44166</v>
      </c>
      <c r="O146" s="7">
        <v>1137.8499999999999</v>
      </c>
      <c r="P146" s="6">
        <v>44173</v>
      </c>
      <c r="Q146" s="7">
        <v>1158.3</v>
      </c>
      <c r="R146" s="5">
        <v>600</v>
      </c>
      <c r="S146" s="13">
        <f t="shared" si="29"/>
        <v>12270.000000000027</v>
      </c>
      <c r="T146" s="9" t="str">
        <f t="shared" si="30"/>
        <v>PASS</v>
      </c>
    </row>
    <row r="147" spans="2:20" x14ac:dyDescent="0.3">
      <c r="B147" s="4" t="s">
        <v>12</v>
      </c>
      <c r="C147" s="17"/>
      <c r="D147" s="18">
        <f t="shared" si="25"/>
        <v>167.93</v>
      </c>
      <c r="E147" s="1">
        <f t="shared" si="26"/>
        <v>178.22</v>
      </c>
      <c r="F147" s="8">
        <f t="shared" si="27"/>
        <v>183.36500000000001</v>
      </c>
      <c r="G147" s="23">
        <v>188.51</v>
      </c>
      <c r="H147" s="19">
        <v>193.65</v>
      </c>
      <c r="I147" s="20">
        <v>198.79999999999998</v>
      </c>
      <c r="J147" s="7">
        <f t="shared" si="28"/>
        <v>203.94999999999996</v>
      </c>
      <c r="L147" s="4" t="s">
        <v>12</v>
      </c>
      <c r="M147" s="5" t="s">
        <v>2</v>
      </c>
      <c r="N147" s="6">
        <v>44169</v>
      </c>
      <c r="O147" s="7">
        <v>198.2</v>
      </c>
      <c r="P147" s="6">
        <v>44173</v>
      </c>
      <c r="Q147" s="7">
        <v>203.95</v>
      </c>
      <c r="R147" s="14">
        <v>3200</v>
      </c>
      <c r="S147" s="8">
        <f t="shared" si="29"/>
        <v>18400</v>
      </c>
      <c r="T147" s="15" t="str">
        <f t="shared" si="30"/>
        <v>PASS</v>
      </c>
    </row>
    <row r="148" spans="2:20" x14ac:dyDescent="0.3">
      <c r="B148" s="4" t="s">
        <v>13</v>
      </c>
      <c r="C148" s="17"/>
      <c r="D148" s="18">
        <f t="shared" si="25"/>
        <v>6182.88</v>
      </c>
      <c r="E148" s="1">
        <f t="shared" si="26"/>
        <v>6524.05</v>
      </c>
      <c r="F148" s="8">
        <f t="shared" si="27"/>
        <v>6694.6350000000002</v>
      </c>
      <c r="G148" s="23">
        <v>6865.22</v>
      </c>
      <c r="H148" s="19">
        <v>7035.8</v>
      </c>
      <c r="I148" s="20">
        <v>7206.39</v>
      </c>
      <c r="J148" s="7">
        <f t="shared" si="28"/>
        <v>7376.9800000000005</v>
      </c>
      <c r="L148" s="4" t="s">
        <v>13</v>
      </c>
      <c r="M148" s="5" t="s">
        <v>2</v>
      </c>
      <c r="N148" s="6">
        <v>44167</v>
      </c>
      <c r="O148" s="7">
        <v>7206.5</v>
      </c>
      <c r="P148" s="6">
        <v>44168</v>
      </c>
      <c r="Q148" s="7">
        <v>7376.9</v>
      </c>
      <c r="R148" s="5">
        <v>100</v>
      </c>
      <c r="S148" s="13">
        <f t="shared" si="29"/>
        <v>17039.999999999964</v>
      </c>
      <c r="T148" s="9" t="str">
        <f t="shared" si="30"/>
        <v>PASS</v>
      </c>
    </row>
    <row r="149" spans="2:20" x14ac:dyDescent="0.3">
      <c r="B149" s="4" t="s">
        <v>14</v>
      </c>
      <c r="C149" s="17"/>
      <c r="D149" s="18">
        <f t="shared" si="25"/>
        <v>1620.3300000000002</v>
      </c>
      <c r="E149" s="1">
        <f t="shared" si="26"/>
        <v>1744.1200000000001</v>
      </c>
      <c r="F149" s="8">
        <f t="shared" si="27"/>
        <v>1806.0150000000001</v>
      </c>
      <c r="G149" s="23">
        <v>1867.91</v>
      </c>
      <c r="H149" s="19">
        <v>1929.8</v>
      </c>
      <c r="I149" s="20">
        <v>1991.7</v>
      </c>
      <c r="J149" s="7">
        <f t="shared" si="28"/>
        <v>2053.6000000000004</v>
      </c>
      <c r="L149" s="4" t="s">
        <v>14</v>
      </c>
      <c r="M149" s="5" t="s">
        <v>2</v>
      </c>
      <c r="N149" s="6">
        <v>44173</v>
      </c>
      <c r="O149" s="7">
        <v>1993.75</v>
      </c>
      <c r="P149" s="6">
        <v>44186</v>
      </c>
      <c r="Q149" s="7">
        <v>1929.8</v>
      </c>
      <c r="R149" s="5">
        <v>505</v>
      </c>
      <c r="S149" s="8">
        <f t="shared" si="29"/>
        <v>-32294.750000000022</v>
      </c>
      <c r="T149" s="9" t="str">
        <f t="shared" si="30"/>
        <v>FAILED</v>
      </c>
    </row>
    <row r="150" spans="2:20" x14ac:dyDescent="0.3">
      <c r="B150" s="4" t="s">
        <v>15</v>
      </c>
      <c r="C150" s="17"/>
      <c r="D150" s="18">
        <f t="shared" si="25"/>
        <v>196.92999999999998</v>
      </c>
      <c r="E150" s="1">
        <f t="shared" si="26"/>
        <v>215.85999999999999</v>
      </c>
      <c r="F150" s="8">
        <f t="shared" si="27"/>
        <v>225.32499999999999</v>
      </c>
      <c r="G150" s="23">
        <v>234.79</v>
      </c>
      <c r="H150" s="19">
        <v>244.25</v>
      </c>
      <c r="I150" s="20">
        <v>253.72</v>
      </c>
      <c r="J150" s="7">
        <f t="shared" si="28"/>
        <v>263.19</v>
      </c>
      <c r="L150" s="4" t="s">
        <v>15</v>
      </c>
      <c r="M150" s="5" t="s">
        <v>2</v>
      </c>
      <c r="N150" s="6">
        <v>44168</v>
      </c>
      <c r="O150" s="16">
        <v>256.3</v>
      </c>
      <c r="P150" s="6">
        <v>44169</v>
      </c>
      <c r="Q150" s="7">
        <v>263.10000000000002</v>
      </c>
      <c r="R150" s="5">
        <v>3000</v>
      </c>
      <c r="S150" s="13">
        <f t="shared" si="29"/>
        <v>20400.000000000033</v>
      </c>
      <c r="T150" s="5" t="str">
        <f t="shared" si="30"/>
        <v>PASS</v>
      </c>
    </row>
    <row r="151" spans="2:20" x14ac:dyDescent="0.3">
      <c r="B151" s="4" t="s">
        <v>16</v>
      </c>
      <c r="C151" s="17"/>
      <c r="D151" s="18">
        <f t="shared" si="25"/>
        <v>435.38</v>
      </c>
      <c r="E151" s="1">
        <f t="shared" si="26"/>
        <v>465.89</v>
      </c>
      <c r="F151" s="8">
        <f t="shared" si="27"/>
        <v>481.14499999999998</v>
      </c>
      <c r="G151" s="23">
        <v>496.4</v>
      </c>
      <c r="H151" s="19">
        <v>511.65</v>
      </c>
      <c r="I151" s="20">
        <v>526.91</v>
      </c>
      <c r="J151" s="7">
        <f t="shared" si="28"/>
        <v>542.16999999999996</v>
      </c>
      <c r="L151" s="4" t="s">
        <v>16</v>
      </c>
      <c r="M151" s="5" t="s">
        <v>2</v>
      </c>
      <c r="N151" s="6">
        <v>44166</v>
      </c>
      <c r="O151" s="7">
        <v>539.35</v>
      </c>
      <c r="P151" s="6">
        <v>44169</v>
      </c>
      <c r="Q151" s="7">
        <v>557.4</v>
      </c>
      <c r="R151" s="14">
        <v>1400</v>
      </c>
      <c r="S151" s="13">
        <f t="shared" si="29"/>
        <v>25269.999999999935</v>
      </c>
      <c r="T151" s="9" t="str">
        <f t="shared" si="30"/>
        <v>PASS</v>
      </c>
    </row>
    <row r="152" spans="2:20" x14ac:dyDescent="0.3">
      <c r="B152" s="4" t="s">
        <v>17</v>
      </c>
      <c r="C152" s="17"/>
      <c r="D152" s="18">
        <f t="shared" si="25"/>
        <v>158.18000000000004</v>
      </c>
      <c r="E152" s="1">
        <f t="shared" si="26"/>
        <v>172.01000000000002</v>
      </c>
      <c r="F152" s="8">
        <f t="shared" si="27"/>
        <v>178.92500000000001</v>
      </c>
      <c r="G152" s="23">
        <v>185.84</v>
      </c>
      <c r="H152" s="19">
        <v>192.75</v>
      </c>
      <c r="I152" s="20">
        <v>199.67</v>
      </c>
      <c r="J152" s="7">
        <f t="shared" si="28"/>
        <v>206.58999999999997</v>
      </c>
      <c r="L152" s="4" t="s">
        <v>17</v>
      </c>
      <c r="M152" s="5" t="s">
        <v>2</v>
      </c>
      <c r="N152" s="6">
        <v>44167</v>
      </c>
      <c r="O152" s="7">
        <v>197.75</v>
      </c>
      <c r="P152" s="6">
        <v>44168</v>
      </c>
      <c r="Q152" s="7">
        <v>206.5</v>
      </c>
      <c r="R152" s="5">
        <v>3000</v>
      </c>
      <c r="S152" s="8">
        <f t="shared" si="29"/>
        <v>26250</v>
      </c>
      <c r="T152" s="9" t="str">
        <f t="shared" si="30"/>
        <v>PASS</v>
      </c>
    </row>
    <row r="153" spans="2:20" x14ac:dyDescent="0.3">
      <c r="B153" s="21"/>
      <c r="C153" s="17"/>
      <c r="D153" s="17"/>
      <c r="E153" s="17"/>
      <c r="F153" s="17"/>
      <c r="G153" s="17"/>
      <c r="H153" s="17"/>
      <c r="I153" s="17"/>
      <c r="J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2:20" x14ac:dyDescent="0.3">
      <c r="B154" s="4" t="s">
        <v>18</v>
      </c>
      <c r="C154" s="17"/>
      <c r="D154" s="18">
        <f>E154-(G154-E154)</f>
        <v>12137.730000000001</v>
      </c>
      <c r="E154" s="1">
        <f>G154-(I154-G154)</f>
        <v>12470.220000000001</v>
      </c>
      <c r="F154" s="8">
        <f>AVERAGE(E154,G154)</f>
        <v>12636.465</v>
      </c>
      <c r="G154" s="23">
        <v>12802.710000000001</v>
      </c>
      <c r="H154" s="19">
        <v>12968.95</v>
      </c>
      <c r="I154" s="20">
        <v>13135.2</v>
      </c>
      <c r="J154" s="7">
        <f>I154+(I154-H154)</f>
        <v>13301.45</v>
      </c>
      <c r="L154" s="4" t="s">
        <v>18</v>
      </c>
      <c r="M154" s="5" t="s">
        <v>2</v>
      </c>
      <c r="N154" s="6">
        <v>44168</v>
      </c>
      <c r="O154" s="7">
        <v>13133.9</v>
      </c>
      <c r="P154" s="6">
        <v>44172</v>
      </c>
      <c r="Q154" s="7">
        <v>13301.45</v>
      </c>
      <c r="R154" s="14">
        <v>75</v>
      </c>
      <c r="S154" s="13">
        <f>IF(M154="BUY",(R154*(Q154-O154)),(R154*(O154-Q154)))</f>
        <v>12566.250000000082</v>
      </c>
      <c r="T154" s="9" t="str">
        <f>IF(S154&lt;0,"FAILED","PASS")</f>
        <v>PASS</v>
      </c>
    </row>
    <row r="155" spans="2:20" x14ac:dyDescent="0.3"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2:20" x14ac:dyDescent="0.3">
      <c r="L156" s="17"/>
      <c r="M156" s="17"/>
      <c r="N156" s="17"/>
      <c r="O156" s="17"/>
      <c r="P156" s="17"/>
      <c r="Q156" s="11" t="s">
        <v>19</v>
      </c>
      <c r="R156" s="17"/>
      <c r="S156" s="12">
        <f>SUM(S141:S154)</f>
        <v>164302.75000000006</v>
      </c>
      <c r="T156" s="17"/>
    </row>
    <row r="172" spans="2:20" x14ac:dyDescent="0.3">
      <c r="G172" s="129" t="s">
        <v>40</v>
      </c>
      <c r="H172" s="130"/>
      <c r="O172" s="131" t="s">
        <v>52</v>
      </c>
      <c r="P172" s="131"/>
      <c r="T172" s="2" t="s">
        <v>4</v>
      </c>
    </row>
    <row r="173" spans="2:20" x14ac:dyDescent="0.3">
      <c r="D173" s="32" t="s">
        <v>29</v>
      </c>
      <c r="E173" s="32" t="s">
        <v>30</v>
      </c>
      <c r="F173" s="32" t="s">
        <v>31</v>
      </c>
      <c r="G173" s="35" t="s">
        <v>32</v>
      </c>
      <c r="H173" s="32" t="s">
        <v>0</v>
      </c>
      <c r="I173" s="32" t="s">
        <v>34</v>
      </c>
      <c r="J173" s="32" t="s">
        <v>30</v>
      </c>
      <c r="T173" s="28" t="s">
        <v>53</v>
      </c>
    </row>
    <row r="174" spans="2:20" x14ac:dyDescent="0.3">
      <c r="B174" s="4" t="s">
        <v>7</v>
      </c>
      <c r="C174" s="17"/>
      <c r="D174" s="18">
        <f t="shared" ref="D174:D186" si="31">E174-(G174-E174)</f>
        <v>182.98000000000005</v>
      </c>
      <c r="E174" s="1">
        <f t="shared" ref="E174:E186" si="32">G174-(I174-G174)</f>
        <v>205.13000000000002</v>
      </c>
      <c r="F174" s="8">
        <f t="shared" ref="F174:F186" si="33">AVERAGE(E174,G174)</f>
        <v>216.20500000000001</v>
      </c>
      <c r="G174" s="23">
        <v>227.28</v>
      </c>
      <c r="H174" s="19">
        <v>238.35</v>
      </c>
      <c r="I174" s="20">
        <v>249.42999999999998</v>
      </c>
      <c r="J174" s="7">
        <f t="shared" ref="J174:J186" si="34">I174+(I174-H174)</f>
        <v>260.51</v>
      </c>
      <c r="L174" s="4" t="s">
        <v>7</v>
      </c>
      <c r="M174" s="5" t="s">
        <v>2</v>
      </c>
      <c r="N174" s="6">
        <v>44173</v>
      </c>
      <c r="O174" s="7">
        <v>248.3</v>
      </c>
      <c r="P174" s="6">
        <v>44177</v>
      </c>
      <c r="Q174" s="7">
        <v>260.5</v>
      </c>
      <c r="R174" s="5">
        <v>3300</v>
      </c>
      <c r="S174" s="8">
        <f t="shared" ref="S174:S186" si="35">IF(M174="BUY",(R174*(Q174-O174)),(R174*(O174-Q174)))</f>
        <v>40259.999999999964</v>
      </c>
      <c r="T174" s="9" t="str">
        <f t="shared" ref="T174:T186" si="36">IF(S174&lt;0,"FAILED",IF(S174=0,"NOTRADE","PASS"))</f>
        <v>PASS</v>
      </c>
    </row>
    <row r="175" spans="2:20" x14ac:dyDescent="0.3">
      <c r="B175" s="4" t="s">
        <v>8</v>
      </c>
      <c r="C175" s="17"/>
      <c r="D175" s="18">
        <f t="shared" si="31"/>
        <v>2238.13</v>
      </c>
      <c r="E175" s="1">
        <f t="shared" si="32"/>
        <v>2370.38</v>
      </c>
      <c r="F175" s="8">
        <f t="shared" si="33"/>
        <v>2436.5050000000001</v>
      </c>
      <c r="G175" s="23">
        <v>2502.63</v>
      </c>
      <c r="H175" s="19">
        <v>2568.75</v>
      </c>
      <c r="I175" s="20">
        <v>2634.88</v>
      </c>
      <c r="J175" s="7">
        <f t="shared" si="34"/>
        <v>2701.01</v>
      </c>
      <c r="L175" s="4" t="s">
        <v>8</v>
      </c>
      <c r="M175" s="5" t="s">
        <v>2</v>
      </c>
      <c r="N175" s="6">
        <v>43835</v>
      </c>
      <c r="O175" s="7">
        <v>2651.85</v>
      </c>
      <c r="P175" s="6">
        <v>44172</v>
      </c>
      <c r="Q175" s="7">
        <v>2701</v>
      </c>
      <c r="R175" s="5">
        <v>300</v>
      </c>
      <c r="S175" s="8">
        <f t="shared" si="35"/>
        <v>14745.000000000027</v>
      </c>
      <c r="T175" s="9" t="str">
        <f t="shared" si="36"/>
        <v>PASS</v>
      </c>
    </row>
    <row r="176" spans="2:20" x14ac:dyDescent="0.3">
      <c r="B176" s="4" t="s">
        <v>9</v>
      </c>
      <c r="C176" s="17"/>
      <c r="D176" s="18">
        <f t="shared" si="31"/>
        <v>1284.58</v>
      </c>
      <c r="E176" s="1">
        <f t="shared" si="32"/>
        <v>1340.77</v>
      </c>
      <c r="F176" s="8">
        <f t="shared" si="33"/>
        <v>1368.865</v>
      </c>
      <c r="G176" s="23">
        <v>1396.96</v>
      </c>
      <c r="H176" s="19">
        <v>1425.05</v>
      </c>
      <c r="I176" s="20">
        <v>1453.15</v>
      </c>
      <c r="J176" s="7">
        <f t="shared" si="34"/>
        <v>1481.2500000000002</v>
      </c>
      <c r="L176" s="4" t="s">
        <v>9</v>
      </c>
      <c r="M176" s="5" t="s">
        <v>2</v>
      </c>
      <c r="N176" s="6">
        <v>44176</v>
      </c>
      <c r="O176" s="7">
        <v>1451.45</v>
      </c>
      <c r="P176" s="6">
        <v>44177</v>
      </c>
      <c r="Q176" s="7">
        <v>1481.25</v>
      </c>
      <c r="R176" s="5">
        <v>550</v>
      </c>
      <c r="S176" s="8">
        <f t="shared" si="35"/>
        <v>16389.999999999975</v>
      </c>
      <c r="T176" s="9" t="str">
        <f t="shared" si="36"/>
        <v>PASS</v>
      </c>
    </row>
    <row r="177" spans="2:20" x14ac:dyDescent="0.3">
      <c r="B177" s="4" t="s">
        <v>41</v>
      </c>
      <c r="C177" s="17"/>
      <c r="D177" s="18">
        <f t="shared" si="31"/>
        <v>2125.98</v>
      </c>
      <c r="E177" s="1">
        <f t="shared" si="32"/>
        <v>2230.61</v>
      </c>
      <c r="F177" s="8">
        <f t="shared" si="33"/>
        <v>2282.9250000000002</v>
      </c>
      <c r="G177" s="23">
        <v>2335.2400000000002</v>
      </c>
      <c r="H177" s="19">
        <v>2387.5500000000002</v>
      </c>
      <c r="I177" s="20">
        <v>2439.8700000000003</v>
      </c>
      <c r="J177" s="7">
        <f t="shared" si="34"/>
        <v>2492.1900000000005</v>
      </c>
      <c r="L177" s="29" t="s">
        <v>41</v>
      </c>
      <c r="M177" s="5" t="s">
        <v>2</v>
      </c>
      <c r="N177" s="6">
        <v>43835</v>
      </c>
      <c r="O177" s="7">
        <v>2450.5500000000002</v>
      </c>
      <c r="P177" s="6">
        <v>44172</v>
      </c>
      <c r="Q177" s="7">
        <v>2387.5500000000002</v>
      </c>
      <c r="R177" s="5">
        <v>300</v>
      </c>
      <c r="S177" s="8">
        <f t="shared" si="35"/>
        <v>-18900</v>
      </c>
      <c r="T177" s="9" t="str">
        <f t="shared" si="36"/>
        <v>FAILED</v>
      </c>
    </row>
    <row r="178" spans="2:20" x14ac:dyDescent="0.3">
      <c r="B178" s="4" t="s">
        <v>10</v>
      </c>
      <c r="C178" s="17"/>
      <c r="D178" s="18">
        <f t="shared" si="31"/>
        <v>466.88</v>
      </c>
      <c r="E178" s="1">
        <f t="shared" si="32"/>
        <v>491.13</v>
      </c>
      <c r="F178" s="8">
        <f t="shared" si="33"/>
        <v>503.255</v>
      </c>
      <c r="G178" s="23">
        <v>515.38</v>
      </c>
      <c r="H178" s="19">
        <v>527.5</v>
      </c>
      <c r="I178" s="20">
        <v>539.63</v>
      </c>
      <c r="J178" s="7">
        <f t="shared" si="34"/>
        <v>551.76</v>
      </c>
      <c r="L178" s="4" t="s">
        <v>10</v>
      </c>
      <c r="M178" s="5" t="s">
        <v>2</v>
      </c>
      <c r="N178" s="6">
        <v>43835</v>
      </c>
      <c r="O178" s="7">
        <v>537.25</v>
      </c>
      <c r="P178" s="6">
        <v>44172</v>
      </c>
      <c r="Q178" s="7">
        <v>551.70000000000005</v>
      </c>
      <c r="R178" s="5">
        <v>1375</v>
      </c>
      <c r="S178" s="8">
        <f t="shared" si="35"/>
        <v>19868.750000000062</v>
      </c>
      <c r="T178" s="9" t="str">
        <f t="shared" si="36"/>
        <v>PASS</v>
      </c>
    </row>
    <row r="179" spans="2:20" x14ac:dyDescent="0.3">
      <c r="B179" s="4" t="s">
        <v>11</v>
      </c>
      <c r="C179" s="17"/>
      <c r="D179" s="18">
        <f t="shared" si="31"/>
        <v>1143.48</v>
      </c>
      <c r="E179" s="1">
        <f t="shared" si="32"/>
        <v>1190.27</v>
      </c>
      <c r="F179" s="8">
        <f t="shared" si="33"/>
        <v>1213.665</v>
      </c>
      <c r="G179" s="23">
        <v>1237.06</v>
      </c>
      <c r="H179" s="19">
        <v>1260.45</v>
      </c>
      <c r="I179" s="20">
        <v>1283.8499999999999</v>
      </c>
      <c r="J179" s="7">
        <f t="shared" si="34"/>
        <v>1307.2499999999998</v>
      </c>
      <c r="L179" s="4" t="s">
        <v>11</v>
      </c>
      <c r="M179" s="26" t="s">
        <v>2</v>
      </c>
      <c r="N179" s="6">
        <v>43834</v>
      </c>
      <c r="O179" s="7">
        <v>1288.25</v>
      </c>
      <c r="P179" s="6">
        <v>44172</v>
      </c>
      <c r="Q179" s="7">
        <v>1260.45</v>
      </c>
      <c r="R179" s="5">
        <v>600</v>
      </c>
      <c r="S179" s="8">
        <f t="shared" si="35"/>
        <v>-16679.999999999971</v>
      </c>
      <c r="T179" s="9" t="str">
        <f t="shared" si="36"/>
        <v>FAILED</v>
      </c>
    </row>
    <row r="180" spans="2:20" x14ac:dyDescent="0.3">
      <c r="B180" s="4" t="s">
        <v>13</v>
      </c>
      <c r="C180" s="17"/>
      <c r="D180" s="18">
        <f t="shared" si="31"/>
        <v>6838.18</v>
      </c>
      <c r="E180" s="1">
        <f t="shared" si="32"/>
        <v>7179.43</v>
      </c>
      <c r="F180" s="8">
        <f t="shared" si="33"/>
        <v>7350.0550000000003</v>
      </c>
      <c r="G180" s="23">
        <v>7520.68</v>
      </c>
      <c r="H180" s="19">
        <v>7691.3</v>
      </c>
      <c r="I180" s="20">
        <v>7861.93</v>
      </c>
      <c r="J180" s="7">
        <f t="shared" si="34"/>
        <v>8032.56</v>
      </c>
      <c r="L180" s="4" t="s">
        <v>13</v>
      </c>
      <c r="M180" s="5" t="s">
        <v>2</v>
      </c>
      <c r="N180" s="6">
        <v>44173</v>
      </c>
      <c r="O180" s="7">
        <v>8014.9</v>
      </c>
      <c r="P180" s="6">
        <v>44176</v>
      </c>
      <c r="Q180" s="7">
        <v>8203.1</v>
      </c>
      <c r="R180" s="14">
        <v>100</v>
      </c>
      <c r="S180" s="8">
        <f t="shared" si="35"/>
        <v>18820.000000000073</v>
      </c>
      <c r="T180" s="9" t="str">
        <f t="shared" si="36"/>
        <v>PASS</v>
      </c>
    </row>
    <row r="181" spans="2:20" x14ac:dyDescent="0.3">
      <c r="B181" s="4" t="s">
        <v>14</v>
      </c>
      <c r="C181" s="17"/>
      <c r="D181" s="18">
        <f t="shared" si="31"/>
        <v>1771.6799999999996</v>
      </c>
      <c r="E181" s="1">
        <f t="shared" si="32"/>
        <v>1858.0099999999998</v>
      </c>
      <c r="F181" s="8">
        <f t="shared" si="33"/>
        <v>1901.1749999999997</v>
      </c>
      <c r="G181" s="23">
        <v>1944.34</v>
      </c>
      <c r="H181" s="19">
        <v>1987.5</v>
      </c>
      <c r="I181" s="20">
        <v>2030.67</v>
      </c>
      <c r="J181" s="7">
        <f t="shared" si="34"/>
        <v>2073.84</v>
      </c>
      <c r="L181" s="4" t="s">
        <v>14</v>
      </c>
      <c r="M181" s="26" t="s">
        <v>1</v>
      </c>
      <c r="N181" s="6">
        <v>44177</v>
      </c>
      <c r="O181" s="7">
        <v>1944.3</v>
      </c>
      <c r="P181" s="6">
        <v>44178</v>
      </c>
      <c r="Q181" s="7">
        <v>1966</v>
      </c>
      <c r="R181" s="5">
        <v>250</v>
      </c>
      <c r="S181" s="8">
        <f t="shared" si="35"/>
        <v>-5425.0000000000109</v>
      </c>
      <c r="T181" s="9" t="str">
        <f t="shared" si="36"/>
        <v>FAILED</v>
      </c>
    </row>
    <row r="182" spans="2:20" x14ac:dyDescent="0.3">
      <c r="B182" s="4" t="s">
        <v>15</v>
      </c>
      <c r="C182" s="17"/>
      <c r="D182" s="18">
        <f t="shared" si="31"/>
        <v>241.82999999999993</v>
      </c>
      <c r="E182" s="1">
        <f t="shared" si="32"/>
        <v>256.85999999999996</v>
      </c>
      <c r="F182" s="8">
        <f t="shared" si="33"/>
        <v>264.375</v>
      </c>
      <c r="G182" s="23">
        <v>271.89</v>
      </c>
      <c r="H182" s="19">
        <v>279.39999999999998</v>
      </c>
      <c r="I182" s="20">
        <v>286.92</v>
      </c>
      <c r="J182" s="7">
        <f t="shared" si="34"/>
        <v>294.44000000000005</v>
      </c>
      <c r="L182" s="4" t="s">
        <v>15</v>
      </c>
      <c r="M182" s="5" t="s">
        <v>2</v>
      </c>
      <c r="N182" s="6">
        <v>43836</v>
      </c>
      <c r="O182" s="7">
        <v>285.05</v>
      </c>
      <c r="P182" s="6">
        <v>44177</v>
      </c>
      <c r="Q182" s="7">
        <v>279.39999999999998</v>
      </c>
      <c r="R182" s="5">
        <v>3000</v>
      </c>
      <c r="S182" s="8">
        <f t="shared" si="35"/>
        <v>-16950.000000000102</v>
      </c>
      <c r="T182" s="9" t="str">
        <f t="shared" si="36"/>
        <v>FAILED</v>
      </c>
    </row>
    <row r="183" spans="2:20" x14ac:dyDescent="0.3">
      <c r="B183" s="4" t="s">
        <v>16</v>
      </c>
      <c r="C183" s="17"/>
      <c r="D183" s="18">
        <f t="shared" si="31"/>
        <v>505.98000000000025</v>
      </c>
      <c r="E183" s="1">
        <f t="shared" si="32"/>
        <v>542.09000000000015</v>
      </c>
      <c r="F183" s="8">
        <f t="shared" si="33"/>
        <v>560.1450000000001</v>
      </c>
      <c r="G183" s="23">
        <v>578.20000000000005</v>
      </c>
      <c r="H183" s="19">
        <v>596.25</v>
      </c>
      <c r="I183" s="20">
        <v>614.30999999999995</v>
      </c>
      <c r="J183" s="7">
        <f t="shared" si="34"/>
        <v>632.36999999999989</v>
      </c>
      <c r="L183" s="4" t="s">
        <v>16</v>
      </c>
      <c r="M183" s="5" t="s">
        <v>2</v>
      </c>
      <c r="N183" s="6">
        <v>44173</v>
      </c>
      <c r="O183" s="7">
        <v>620.79999999999995</v>
      </c>
      <c r="P183" s="6">
        <v>44183</v>
      </c>
      <c r="Q183" s="7">
        <v>596.25</v>
      </c>
      <c r="R183" s="5">
        <v>1400</v>
      </c>
      <c r="S183" s="8">
        <f t="shared" si="35"/>
        <v>-34369.999999999935</v>
      </c>
      <c r="T183" s="9" t="str">
        <f t="shared" si="36"/>
        <v>FAILED</v>
      </c>
    </row>
    <row r="184" spans="2:20" x14ac:dyDescent="0.3">
      <c r="B184" s="4" t="s">
        <v>42</v>
      </c>
      <c r="C184" s="17"/>
      <c r="D184" s="18">
        <f t="shared" si="31"/>
        <v>548.93000000000006</v>
      </c>
      <c r="E184" s="1">
        <f t="shared" si="32"/>
        <v>586.6</v>
      </c>
      <c r="F184" s="8">
        <f t="shared" si="33"/>
        <v>605.43499999999995</v>
      </c>
      <c r="G184" s="23">
        <v>624.27</v>
      </c>
      <c r="H184" s="19">
        <v>643.1</v>
      </c>
      <c r="I184" s="20">
        <v>661.93999999999994</v>
      </c>
      <c r="J184" s="7">
        <f t="shared" si="34"/>
        <v>680.77999999999986</v>
      </c>
      <c r="L184" s="4" t="s">
        <v>42</v>
      </c>
      <c r="M184" s="26" t="s">
        <v>2</v>
      </c>
      <c r="N184" s="6">
        <v>43834</v>
      </c>
      <c r="O184" s="7">
        <v>693</v>
      </c>
      <c r="P184" s="6">
        <v>44170</v>
      </c>
      <c r="Q184" s="7">
        <v>680.7</v>
      </c>
      <c r="R184" s="14">
        <v>1700</v>
      </c>
      <c r="S184" s="8">
        <f t="shared" si="35"/>
        <v>-20909.999999999924</v>
      </c>
      <c r="T184" s="9" t="str">
        <f t="shared" si="36"/>
        <v>FAILED</v>
      </c>
    </row>
    <row r="185" spans="2:20" x14ac:dyDescent="0.3">
      <c r="B185" s="4" t="s">
        <v>43</v>
      </c>
      <c r="C185" s="17"/>
      <c r="D185" s="18">
        <f t="shared" si="31"/>
        <v>1386.78</v>
      </c>
      <c r="E185" s="1">
        <f t="shared" si="32"/>
        <v>1455.51</v>
      </c>
      <c r="F185" s="8">
        <f t="shared" si="33"/>
        <v>1489.875</v>
      </c>
      <c r="G185" s="23">
        <v>1524.24</v>
      </c>
      <c r="H185" s="19">
        <v>1558.6</v>
      </c>
      <c r="I185" s="20">
        <v>1592.97</v>
      </c>
      <c r="J185" s="7">
        <f t="shared" si="34"/>
        <v>1627.3400000000001</v>
      </c>
      <c r="L185" s="29" t="s">
        <v>43</v>
      </c>
      <c r="M185" s="5" t="s">
        <v>2</v>
      </c>
      <c r="N185" s="6">
        <v>43836</v>
      </c>
      <c r="O185" s="7">
        <v>1572.6</v>
      </c>
      <c r="P185" s="6">
        <v>44172</v>
      </c>
      <c r="Q185" s="7">
        <v>1541.4</v>
      </c>
      <c r="R185" s="5">
        <v>750</v>
      </c>
      <c r="S185" s="8">
        <f t="shared" si="35"/>
        <v>-23399.999999999862</v>
      </c>
      <c r="T185" s="9" t="str">
        <f t="shared" si="36"/>
        <v>FAILED</v>
      </c>
    </row>
    <row r="186" spans="2:20" x14ac:dyDescent="0.3">
      <c r="B186" s="4" t="s">
        <v>17</v>
      </c>
      <c r="C186" s="17"/>
      <c r="D186" s="18">
        <f t="shared" si="31"/>
        <v>174.38000000000002</v>
      </c>
      <c r="E186" s="1">
        <f t="shared" si="32"/>
        <v>194.61</v>
      </c>
      <c r="F186" s="8">
        <f t="shared" si="33"/>
        <v>204.72500000000002</v>
      </c>
      <c r="G186" s="23">
        <v>214.84</v>
      </c>
      <c r="H186" s="19">
        <v>224.95</v>
      </c>
      <c r="I186" s="20">
        <v>235.07</v>
      </c>
      <c r="J186" s="7">
        <f t="shared" si="34"/>
        <v>245.19</v>
      </c>
      <c r="L186" s="4" t="s">
        <v>17</v>
      </c>
      <c r="M186" s="5" t="s">
        <v>2</v>
      </c>
      <c r="N186" s="6">
        <v>44173</v>
      </c>
      <c r="O186" s="7">
        <v>231.15</v>
      </c>
      <c r="P186" s="6">
        <v>44176</v>
      </c>
      <c r="Q186" s="7">
        <v>224.95</v>
      </c>
      <c r="R186" s="5">
        <v>3000</v>
      </c>
      <c r="S186" s="8">
        <f t="shared" si="35"/>
        <v>-18600.000000000051</v>
      </c>
      <c r="T186" s="9" t="str">
        <f t="shared" si="36"/>
        <v>FAILED</v>
      </c>
    </row>
    <row r="187" spans="2:20" x14ac:dyDescent="0.3">
      <c r="B187" s="17"/>
      <c r="H187" s="17"/>
    </row>
    <row r="188" spans="2:20" x14ac:dyDescent="0.3">
      <c r="B188" s="4" t="s">
        <v>18</v>
      </c>
      <c r="C188" s="17"/>
      <c r="D188" s="18">
        <f>E188-(G188-E188)</f>
        <v>13225.680000000002</v>
      </c>
      <c r="E188" s="1">
        <f>G188-(I188-G188)</f>
        <v>13542.810000000001</v>
      </c>
      <c r="F188" s="8">
        <f>AVERAGE(E188,G188)</f>
        <v>13701.375</v>
      </c>
      <c r="G188" s="23">
        <v>13859.94</v>
      </c>
      <c r="H188" s="19">
        <v>14018.5</v>
      </c>
      <c r="I188" s="20">
        <v>14177.07</v>
      </c>
      <c r="J188" s="7">
        <f>I188+(I188-H188)</f>
        <v>14335.64</v>
      </c>
      <c r="L188" s="4" t="s">
        <v>18</v>
      </c>
      <c r="M188" s="5" t="s">
        <v>2</v>
      </c>
      <c r="N188" s="6">
        <v>43835</v>
      </c>
      <c r="O188" s="7">
        <v>14199.5</v>
      </c>
      <c r="P188" s="6">
        <v>44173</v>
      </c>
      <c r="Q188" s="7">
        <v>14335.6</v>
      </c>
      <c r="R188" s="5">
        <v>75</v>
      </c>
      <c r="S188" s="8">
        <f>IF(M188="BUY",(R188*(Q188-O188)),(R188*(O188-Q188)))</f>
        <v>10207.500000000027</v>
      </c>
      <c r="T188" s="9" t="str">
        <f>IF(S188&lt;0,"FAILED",IF(S188=0,"NOTRADE","PASS"))</f>
        <v>PASS</v>
      </c>
    </row>
    <row r="189" spans="2:20" x14ac:dyDescent="0.3"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2:20" x14ac:dyDescent="0.3">
      <c r="M190" s="17"/>
      <c r="N190" s="17"/>
      <c r="O190" s="17"/>
      <c r="P190" s="17"/>
      <c r="Q190" s="11" t="s">
        <v>19</v>
      </c>
      <c r="R190" s="17"/>
      <c r="S190" s="12">
        <f>SUM(S174:S188)</f>
        <v>-34943.749999999724</v>
      </c>
      <c r="T190" s="17"/>
    </row>
    <row r="205" spans="2:20" x14ac:dyDescent="0.3">
      <c r="G205" s="129" t="s">
        <v>54</v>
      </c>
      <c r="H205" s="130"/>
      <c r="O205" s="131" t="s">
        <v>55</v>
      </c>
      <c r="P205" s="131"/>
      <c r="T205" s="2" t="s">
        <v>4</v>
      </c>
    </row>
    <row r="206" spans="2:20" x14ac:dyDescent="0.3">
      <c r="D206" s="32" t="s">
        <v>29</v>
      </c>
      <c r="E206" s="32" t="s">
        <v>30</v>
      </c>
      <c r="F206" s="32" t="s">
        <v>31</v>
      </c>
      <c r="G206" s="35" t="s">
        <v>32</v>
      </c>
      <c r="H206" s="32" t="s">
        <v>34</v>
      </c>
      <c r="I206" s="32" t="s">
        <v>30</v>
      </c>
      <c r="J206" s="32" t="s">
        <v>29</v>
      </c>
      <c r="T206" s="28" t="s">
        <v>56</v>
      </c>
    </row>
    <row r="207" spans="2:20" x14ac:dyDescent="0.3">
      <c r="B207" s="4" t="s">
        <v>7</v>
      </c>
      <c r="C207" s="17"/>
      <c r="D207" s="18">
        <f t="shared" ref="D207:D219" si="37">F207-(I207-F207)</f>
        <v>215.98999999999995</v>
      </c>
      <c r="E207" s="1">
        <f t="shared" ref="E207:E219" si="38">AVERAGE(D207,F207)</f>
        <v>229.14499999999998</v>
      </c>
      <c r="F207" s="8">
        <v>242.29999999999998</v>
      </c>
      <c r="G207" s="23">
        <f t="shared" ref="G207:G219" si="39">AVERAGE(H207,I207)</f>
        <v>262.02999999999997</v>
      </c>
      <c r="H207" s="19">
        <v>255.45</v>
      </c>
      <c r="I207" s="20">
        <v>268.61</v>
      </c>
      <c r="J207" s="7">
        <f t="shared" ref="J207:J219" si="40">I207+(I207-H207)</f>
        <v>281.77000000000004</v>
      </c>
      <c r="L207" s="4" t="s">
        <v>7</v>
      </c>
      <c r="M207" s="5"/>
      <c r="N207" s="6"/>
      <c r="O207" s="7"/>
      <c r="P207" s="6"/>
      <c r="Q207" s="7"/>
      <c r="R207" s="5">
        <v>3300</v>
      </c>
      <c r="S207" s="8">
        <f t="shared" ref="S207:S219" si="41">IF(M207="BUY",(R207*(Q207-O207)),(R207*(O207-Q207)))</f>
        <v>0</v>
      </c>
      <c r="T207" s="9" t="str">
        <f t="shared" ref="T207:T219" si="42">IF(S207&lt;0,"FAILED",IF(S207=0,"NOTRADE","PASS"))</f>
        <v>NOTRADE</v>
      </c>
    </row>
    <row r="208" spans="2:20" x14ac:dyDescent="0.3">
      <c r="B208" s="4" t="s">
        <v>8</v>
      </c>
      <c r="C208" s="17"/>
      <c r="D208" s="18">
        <f t="shared" si="37"/>
        <v>2163.3200000000006</v>
      </c>
      <c r="E208" s="1">
        <f t="shared" si="38"/>
        <v>2234.8150000000005</v>
      </c>
      <c r="F208" s="8">
        <v>2306.3100000000004</v>
      </c>
      <c r="G208" s="23">
        <f t="shared" si="39"/>
        <v>2413.5500000000002</v>
      </c>
      <c r="H208" s="19">
        <v>2377.8000000000002</v>
      </c>
      <c r="I208" s="20">
        <v>2449.3000000000002</v>
      </c>
      <c r="J208" s="7">
        <f t="shared" si="40"/>
        <v>2520.8000000000002</v>
      </c>
      <c r="L208" s="4" t="s">
        <v>8</v>
      </c>
      <c r="M208" s="5"/>
      <c r="N208" s="6"/>
      <c r="O208" s="7"/>
      <c r="P208" s="6"/>
      <c r="Q208" s="7"/>
      <c r="R208" s="5">
        <v>300</v>
      </c>
      <c r="S208" s="8">
        <f t="shared" si="41"/>
        <v>0</v>
      </c>
      <c r="T208" s="9" t="str">
        <f t="shared" si="42"/>
        <v>NOTRADE</v>
      </c>
    </row>
    <row r="209" spans="2:20" x14ac:dyDescent="0.3">
      <c r="B209" s="4" t="s">
        <v>9</v>
      </c>
      <c r="C209" s="17"/>
      <c r="D209" s="18">
        <f t="shared" si="37"/>
        <v>1295.1500000000001</v>
      </c>
      <c r="E209" s="1">
        <f t="shared" si="38"/>
        <v>1326.9349999999999</v>
      </c>
      <c r="F209" s="8">
        <v>1358.72</v>
      </c>
      <c r="G209" s="23">
        <f t="shared" si="39"/>
        <v>1406.395</v>
      </c>
      <c r="H209" s="19">
        <v>1390.5</v>
      </c>
      <c r="I209" s="20">
        <v>1422.29</v>
      </c>
      <c r="J209" s="7">
        <f t="shared" si="40"/>
        <v>1454.08</v>
      </c>
      <c r="L209" s="4" t="s">
        <v>9</v>
      </c>
      <c r="M209" s="5"/>
      <c r="N209" s="6"/>
      <c r="O209" s="7"/>
      <c r="P209" s="6"/>
      <c r="Q209" s="7"/>
      <c r="R209" s="5">
        <v>550</v>
      </c>
      <c r="S209" s="8">
        <f t="shared" si="41"/>
        <v>0</v>
      </c>
      <c r="T209" s="9" t="str">
        <f t="shared" si="42"/>
        <v>NOTRADE</v>
      </c>
    </row>
    <row r="210" spans="2:20" x14ac:dyDescent="0.3">
      <c r="B210" s="4" t="s">
        <v>41</v>
      </c>
      <c r="C210" s="17"/>
      <c r="D210" s="18">
        <f t="shared" si="37"/>
        <v>2105.6700000000005</v>
      </c>
      <c r="E210" s="1">
        <f t="shared" si="38"/>
        <v>2158.4150000000004</v>
      </c>
      <c r="F210" s="8">
        <v>2211.1600000000003</v>
      </c>
      <c r="G210" s="23">
        <f t="shared" si="39"/>
        <v>2290.2750000000001</v>
      </c>
      <c r="H210" s="19">
        <v>2263.9</v>
      </c>
      <c r="I210" s="20">
        <v>2316.65</v>
      </c>
      <c r="J210" s="7">
        <f t="shared" si="40"/>
        <v>2369.4</v>
      </c>
      <c r="L210" s="29" t="s">
        <v>41</v>
      </c>
      <c r="M210" s="5"/>
      <c r="N210" s="6"/>
      <c r="O210" s="7"/>
      <c r="P210" s="6"/>
      <c r="Q210" s="7"/>
      <c r="R210" s="5">
        <v>300</v>
      </c>
      <c r="S210" s="8">
        <f t="shared" si="41"/>
        <v>0</v>
      </c>
      <c r="T210" s="9" t="str">
        <f t="shared" si="42"/>
        <v>NOTRADE</v>
      </c>
    </row>
    <row r="211" spans="2:20" x14ac:dyDescent="0.3">
      <c r="B211" s="4" t="s">
        <v>10</v>
      </c>
      <c r="C211" s="17"/>
      <c r="D211" s="18">
        <f t="shared" si="37"/>
        <v>495.65000000000009</v>
      </c>
      <c r="E211" s="1">
        <f t="shared" si="38"/>
        <v>509.43500000000006</v>
      </c>
      <c r="F211" s="8">
        <v>523.22</v>
      </c>
      <c r="G211" s="23">
        <f t="shared" si="39"/>
        <v>543.89499999999998</v>
      </c>
      <c r="H211" s="19">
        <v>537</v>
      </c>
      <c r="I211" s="20">
        <v>550.79</v>
      </c>
      <c r="J211" s="7">
        <f t="shared" si="40"/>
        <v>564.57999999999993</v>
      </c>
      <c r="L211" s="4" t="s">
        <v>10</v>
      </c>
      <c r="M211" s="5"/>
      <c r="N211" s="6"/>
      <c r="O211" s="7"/>
      <c r="P211" s="6"/>
      <c r="Q211" s="7"/>
      <c r="R211" s="5">
        <v>1375</v>
      </c>
      <c r="S211" s="8">
        <f t="shared" si="41"/>
        <v>0</v>
      </c>
      <c r="T211" s="9" t="str">
        <f t="shared" si="42"/>
        <v>NOTRADE</v>
      </c>
    </row>
    <row r="212" spans="2:20" x14ac:dyDescent="0.3">
      <c r="B212" s="4" t="s">
        <v>11</v>
      </c>
      <c r="C212" s="17"/>
      <c r="D212" s="18">
        <f t="shared" si="37"/>
        <v>1144.8700000000001</v>
      </c>
      <c r="E212" s="1">
        <f t="shared" si="38"/>
        <v>1176.2650000000001</v>
      </c>
      <c r="F212" s="8">
        <v>1207.6600000000001</v>
      </c>
      <c r="G212" s="23">
        <f t="shared" si="39"/>
        <v>1254.75</v>
      </c>
      <c r="H212" s="19">
        <v>1239.05</v>
      </c>
      <c r="I212" s="20">
        <v>1270.45</v>
      </c>
      <c r="J212" s="7">
        <f t="shared" si="40"/>
        <v>1301.8500000000001</v>
      </c>
      <c r="L212" s="4" t="s">
        <v>11</v>
      </c>
      <c r="M212" s="26" t="s">
        <v>2</v>
      </c>
      <c r="N212" s="6">
        <v>43862</v>
      </c>
      <c r="O212" s="7">
        <v>1260.9000000000001</v>
      </c>
      <c r="P212" s="6">
        <v>43864</v>
      </c>
      <c r="Q212" s="7">
        <v>1301.8499999999999</v>
      </c>
      <c r="R212" s="5">
        <v>600</v>
      </c>
      <c r="S212" s="8">
        <f t="shared" si="41"/>
        <v>24569.999999999891</v>
      </c>
      <c r="T212" s="9" t="str">
        <f t="shared" si="42"/>
        <v>PASS</v>
      </c>
    </row>
    <row r="213" spans="2:20" x14ac:dyDescent="0.3">
      <c r="B213" s="4" t="s">
        <v>13</v>
      </c>
      <c r="C213" s="17"/>
      <c r="D213" s="18">
        <f t="shared" si="37"/>
        <v>6521.7400000000007</v>
      </c>
      <c r="E213" s="1">
        <f t="shared" si="38"/>
        <v>6750.0450000000001</v>
      </c>
      <c r="F213" s="8">
        <v>6978.35</v>
      </c>
      <c r="G213" s="23">
        <f t="shared" si="39"/>
        <v>7320.8050000000003</v>
      </c>
      <c r="H213" s="19">
        <v>7206.65</v>
      </c>
      <c r="I213" s="20">
        <v>7434.96</v>
      </c>
      <c r="J213" s="7">
        <f t="shared" si="40"/>
        <v>7663.27</v>
      </c>
      <c r="L213" s="4" t="s">
        <v>13</v>
      </c>
      <c r="M213" s="26" t="s">
        <v>2</v>
      </c>
      <c r="N213" s="6">
        <v>43862</v>
      </c>
      <c r="O213" s="7">
        <v>7399.8</v>
      </c>
      <c r="P213" s="6">
        <v>43863</v>
      </c>
      <c r="Q213" s="7">
        <v>7663.2</v>
      </c>
      <c r="R213" s="14">
        <v>100</v>
      </c>
      <c r="S213" s="8">
        <f t="shared" si="41"/>
        <v>26339.999999999964</v>
      </c>
      <c r="T213" s="9" t="str">
        <f t="shared" si="42"/>
        <v>PASS</v>
      </c>
    </row>
    <row r="214" spans="2:20" x14ac:dyDescent="0.3">
      <c r="B214" s="4" t="s">
        <v>14</v>
      </c>
      <c r="C214" s="17"/>
      <c r="D214" s="18">
        <f t="shared" si="37"/>
        <v>1697.46</v>
      </c>
      <c r="E214" s="1">
        <f t="shared" si="38"/>
        <v>1745.625</v>
      </c>
      <c r="F214" s="8">
        <v>1793.79</v>
      </c>
      <c r="G214" s="23">
        <f t="shared" si="39"/>
        <v>1866.0349999999999</v>
      </c>
      <c r="H214" s="19">
        <v>1841.95</v>
      </c>
      <c r="I214" s="20">
        <v>1890.12</v>
      </c>
      <c r="J214" s="7">
        <f t="shared" si="40"/>
        <v>1938.2899999999997</v>
      </c>
      <c r="L214" s="4" t="s">
        <v>14</v>
      </c>
      <c r="M214" s="26" t="s">
        <v>2</v>
      </c>
      <c r="N214" s="6">
        <v>43862</v>
      </c>
      <c r="O214" s="7">
        <v>1895.3</v>
      </c>
      <c r="P214" s="6">
        <v>43863</v>
      </c>
      <c r="Q214" s="7">
        <v>1938.2</v>
      </c>
      <c r="R214" s="5">
        <v>250</v>
      </c>
      <c r="S214" s="8">
        <f t="shared" si="41"/>
        <v>10725.000000000022</v>
      </c>
      <c r="T214" s="9" t="str">
        <f t="shared" si="42"/>
        <v>PASS</v>
      </c>
    </row>
    <row r="215" spans="2:20" x14ac:dyDescent="0.3">
      <c r="B215" s="4" t="s">
        <v>15</v>
      </c>
      <c r="C215" s="17"/>
      <c r="D215" s="18">
        <f t="shared" si="37"/>
        <v>252.80999999999995</v>
      </c>
      <c r="E215" s="1">
        <f t="shared" si="38"/>
        <v>262.57499999999993</v>
      </c>
      <c r="F215" s="8">
        <v>272.33999999999997</v>
      </c>
      <c r="G215" s="23">
        <f t="shared" si="39"/>
        <v>286.98500000000001</v>
      </c>
      <c r="H215" s="19">
        <v>282.10000000000002</v>
      </c>
      <c r="I215" s="20">
        <v>291.87</v>
      </c>
      <c r="J215" s="7">
        <f t="shared" si="40"/>
        <v>301.64</v>
      </c>
      <c r="L215" s="4" t="s">
        <v>15</v>
      </c>
      <c r="M215" s="5"/>
      <c r="N215" s="6"/>
      <c r="O215" s="7"/>
      <c r="P215" s="6"/>
      <c r="Q215" s="7"/>
      <c r="R215" s="5">
        <v>3000</v>
      </c>
      <c r="S215" s="8">
        <f t="shared" si="41"/>
        <v>0</v>
      </c>
      <c r="T215" s="9" t="str">
        <f t="shared" si="42"/>
        <v>NOTRADE</v>
      </c>
    </row>
    <row r="216" spans="2:20" x14ac:dyDescent="0.3">
      <c r="B216" s="4" t="s">
        <v>16</v>
      </c>
      <c r="C216" s="17"/>
      <c r="D216" s="18">
        <f t="shared" si="37"/>
        <v>529.97</v>
      </c>
      <c r="E216" s="1">
        <f t="shared" si="38"/>
        <v>548.71500000000003</v>
      </c>
      <c r="F216" s="8">
        <v>567.46</v>
      </c>
      <c r="G216" s="23">
        <f t="shared" si="39"/>
        <v>595.57500000000005</v>
      </c>
      <c r="H216" s="19">
        <v>586.20000000000005</v>
      </c>
      <c r="I216" s="20">
        <v>604.95000000000005</v>
      </c>
      <c r="J216" s="7">
        <f t="shared" si="40"/>
        <v>623.70000000000005</v>
      </c>
      <c r="L216" s="4" t="s">
        <v>16</v>
      </c>
      <c r="M216" s="26" t="s">
        <v>2</v>
      </c>
      <c r="N216" s="6">
        <v>43863</v>
      </c>
      <c r="O216" s="7">
        <v>609.45000000000005</v>
      </c>
      <c r="P216" s="6">
        <v>43864</v>
      </c>
      <c r="Q216" s="7">
        <v>623.70000000000005</v>
      </c>
      <c r="R216" s="5">
        <v>1400</v>
      </c>
      <c r="S216" s="8">
        <f t="shared" si="41"/>
        <v>19950</v>
      </c>
      <c r="T216" s="9" t="str">
        <f t="shared" si="42"/>
        <v>PASS</v>
      </c>
    </row>
    <row r="217" spans="2:20" x14ac:dyDescent="0.3">
      <c r="B217" s="4" t="s">
        <v>42</v>
      </c>
      <c r="C217" s="17"/>
      <c r="D217" s="18">
        <f t="shared" si="37"/>
        <v>522.09000000000015</v>
      </c>
      <c r="E217" s="1">
        <f t="shared" si="38"/>
        <v>548.3950000000001</v>
      </c>
      <c r="F217" s="8">
        <v>574.70000000000005</v>
      </c>
      <c r="G217" s="23">
        <f t="shared" si="39"/>
        <v>614.15499999999997</v>
      </c>
      <c r="H217" s="19">
        <v>601</v>
      </c>
      <c r="I217" s="20">
        <v>627.30999999999995</v>
      </c>
      <c r="J217" s="7">
        <f t="shared" si="40"/>
        <v>653.61999999999989</v>
      </c>
      <c r="L217" s="4" t="s">
        <v>42</v>
      </c>
      <c r="M217" s="26" t="s">
        <v>2</v>
      </c>
      <c r="N217" s="6">
        <v>43862</v>
      </c>
      <c r="O217" s="7">
        <v>636.1</v>
      </c>
      <c r="P217" s="6">
        <v>43864</v>
      </c>
      <c r="Q217" s="7">
        <v>653.6</v>
      </c>
      <c r="R217" s="14">
        <v>1700</v>
      </c>
      <c r="S217" s="8">
        <f t="shared" si="41"/>
        <v>29750</v>
      </c>
      <c r="T217" s="9" t="str">
        <f t="shared" si="42"/>
        <v>PASS</v>
      </c>
    </row>
    <row r="218" spans="2:20" x14ac:dyDescent="0.3">
      <c r="B218" s="4" t="s">
        <v>43</v>
      </c>
      <c r="C218" s="17"/>
      <c r="D218" s="18">
        <f t="shared" si="37"/>
        <v>1311.24</v>
      </c>
      <c r="E218" s="1">
        <f t="shared" si="38"/>
        <v>1347.595</v>
      </c>
      <c r="F218" s="8">
        <v>1383.95</v>
      </c>
      <c r="G218" s="23">
        <f t="shared" si="39"/>
        <v>1438.48</v>
      </c>
      <c r="H218" s="19">
        <v>1420.3</v>
      </c>
      <c r="I218" s="20">
        <v>1456.66</v>
      </c>
      <c r="J218" s="7">
        <f t="shared" si="40"/>
        <v>1493.0200000000002</v>
      </c>
      <c r="L218" s="29" t="s">
        <v>43</v>
      </c>
      <c r="M218" s="26"/>
      <c r="N218" s="6"/>
      <c r="O218" s="7"/>
      <c r="P218" s="6"/>
      <c r="Q218" s="7"/>
      <c r="R218" s="5">
        <v>750</v>
      </c>
      <c r="S218" s="8">
        <f t="shared" si="41"/>
        <v>0</v>
      </c>
      <c r="T218" s="9" t="str">
        <f t="shared" si="42"/>
        <v>NOTRADE</v>
      </c>
    </row>
    <row r="219" spans="2:20" x14ac:dyDescent="0.3">
      <c r="B219" s="4" t="s">
        <v>17</v>
      </c>
      <c r="C219" s="17"/>
      <c r="D219" s="18">
        <f t="shared" si="37"/>
        <v>193.01999999999998</v>
      </c>
      <c r="E219" s="1">
        <f t="shared" si="38"/>
        <v>202.01499999999999</v>
      </c>
      <c r="F219" s="8">
        <v>211.01</v>
      </c>
      <c r="G219" s="23">
        <f t="shared" si="39"/>
        <v>224.5</v>
      </c>
      <c r="H219" s="19">
        <v>220</v>
      </c>
      <c r="I219" s="20">
        <v>229</v>
      </c>
      <c r="J219" s="7">
        <f t="shared" si="40"/>
        <v>238</v>
      </c>
      <c r="L219" s="4" t="s">
        <v>17</v>
      </c>
      <c r="M219" s="26" t="s">
        <v>2</v>
      </c>
      <c r="N219" s="6">
        <v>43862</v>
      </c>
      <c r="O219" s="7">
        <v>227.2</v>
      </c>
      <c r="P219" s="6">
        <v>43863</v>
      </c>
      <c r="Q219" s="7">
        <v>238</v>
      </c>
      <c r="R219" s="5">
        <v>3000</v>
      </c>
      <c r="S219" s="8">
        <f t="shared" si="41"/>
        <v>32400.000000000033</v>
      </c>
      <c r="T219" s="9" t="str">
        <f t="shared" si="42"/>
        <v>PASS</v>
      </c>
    </row>
    <row r="220" spans="2:20" x14ac:dyDescent="0.3">
      <c r="B220" s="17"/>
      <c r="H220" s="17"/>
    </row>
    <row r="221" spans="2:20" x14ac:dyDescent="0.3">
      <c r="B221" s="4" t="s">
        <v>18</v>
      </c>
      <c r="C221" s="17"/>
      <c r="D221" s="18">
        <f>F221-(I221-F221)</f>
        <v>13056.130000000001</v>
      </c>
      <c r="E221" s="1">
        <f>AVERAGE(D221,F221)</f>
        <v>13248.955000000002</v>
      </c>
      <c r="F221" s="8">
        <v>13441.78</v>
      </c>
      <c r="G221" s="23">
        <f>AVERAGE(H221,I221)</f>
        <v>13731.014999999999</v>
      </c>
      <c r="H221" s="19">
        <v>13634.6</v>
      </c>
      <c r="I221" s="20">
        <v>13827.43</v>
      </c>
      <c r="J221" s="7">
        <f>I221+(I221-H221)</f>
        <v>14020.26</v>
      </c>
      <c r="L221" s="4" t="s">
        <v>18</v>
      </c>
      <c r="M221" s="5"/>
      <c r="N221" s="6"/>
      <c r="O221" s="7"/>
      <c r="P221" s="6"/>
      <c r="Q221" s="7"/>
      <c r="R221" s="5">
        <v>75</v>
      </c>
      <c r="S221" s="8">
        <f>IF(M221="BUY",(R221*(Q221-O221)),(R221*(O221-Q221)))</f>
        <v>0</v>
      </c>
      <c r="T221" s="9" t="str">
        <f>IF(S221&lt;0,"FAILED",IF(S221=0,"NOTRADE","PASS"))</f>
        <v>NOTRADE</v>
      </c>
    </row>
    <row r="222" spans="2:20" x14ac:dyDescent="0.3"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2:20" x14ac:dyDescent="0.3">
      <c r="M223" s="17"/>
      <c r="N223" s="17"/>
      <c r="O223" s="17"/>
      <c r="P223" s="17"/>
      <c r="Q223" s="11" t="s">
        <v>19</v>
      </c>
      <c r="R223" s="17"/>
      <c r="S223" s="12">
        <f>SUM(S207:S221)</f>
        <v>143734.99999999991</v>
      </c>
      <c r="T223" s="17"/>
    </row>
    <row r="238" spans="2:20" x14ac:dyDescent="0.3">
      <c r="G238" s="31" t="s">
        <v>57</v>
      </c>
      <c r="O238" s="127" t="s">
        <v>58</v>
      </c>
      <c r="P238" s="128"/>
      <c r="T238" s="2" t="s">
        <v>4</v>
      </c>
    </row>
    <row r="239" spans="2:20" x14ac:dyDescent="0.3">
      <c r="D239" s="32" t="s">
        <v>29</v>
      </c>
      <c r="E239" s="32" t="s">
        <v>30</v>
      </c>
      <c r="F239" s="32" t="s">
        <v>31</v>
      </c>
      <c r="G239" s="35" t="s">
        <v>32</v>
      </c>
      <c r="H239" s="32" t="s">
        <v>34</v>
      </c>
      <c r="I239" s="32" t="s">
        <v>30</v>
      </c>
      <c r="J239" s="32" t="s">
        <v>29</v>
      </c>
      <c r="T239" s="28" t="s">
        <v>59</v>
      </c>
    </row>
    <row r="240" spans="2:20" x14ac:dyDescent="0.3">
      <c r="B240" s="4" t="s">
        <v>7</v>
      </c>
      <c r="C240" s="17"/>
      <c r="D240" s="18">
        <f t="shared" ref="D240:D252" si="43">F240-(H240-F240)</f>
        <v>259.89000000000004</v>
      </c>
      <c r="E240" s="1">
        <f t="shared" ref="E240:E252" si="44">AVERAGE(D240,F240)</f>
        <v>274.09500000000003</v>
      </c>
      <c r="F240" s="8">
        <v>288.3</v>
      </c>
      <c r="G240" s="23">
        <v>302.5</v>
      </c>
      <c r="H240" s="19">
        <v>316.70999999999998</v>
      </c>
      <c r="I240" s="20">
        <f t="shared" ref="I240:I252" si="45">H240+(H240-G240)</f>
        <v>330.91999999999996</v>
      </c>
      <c r="J240" s="7">
        <f t="shared" ref="J240:J252" si="46">H240+(H240-F240)</f>
        <v>345.11999999999995</v>
      </c>
      <c r="L240" s="4" t="s">
        <v>7</v>
      </c>
      <c r="M240" s="26" t="s">
        <v>2</v>
      </c>
      <c r="N240" s="6">
        <v>44258</v>
      </c>
      <c r="O240" s="7">
        <v>324.2</v>
      </c>
      <c r="P240" s="6">
        <v>44259</v>
      </c>
      <c r="Q240" s="7">
        <v>320.45</v>
      </c>
      <c r="R240" s="5">
        <v>3300</v>
      </c>
      <c r="S240" s="8">
        <f t="shared" ref="S240:S252" si="47">IF(M240="BUY",(R240*(Q240-O240)),(R240*(O240-Q240)))</f>
        <v>-12375</v>
      </c>
      <c r="T240" s="9" t="str">
        <f t="shared" ref="T240:T252" si="48">IF(S240&lt;0,"FAILED",IF(S240=0,"NOTRADE","PASS"))</f>
        <v>FAILED</v>
      </c>
    </row>
    <row r="241" spans="2:20" x14ac:dyDescent="0.3">
      <c r="B241" s="4" t="s">
        <v>8</v>
      </c>
      <c r="C241" s="17"/>
      <c r="D241" s="18">
        <f t="shared" si="43"/>
        <v>2302.33</v>
      </c>
      <c r="E241" s="1">
        <f t="shared" si="44"/>
        <v>2381.355</v>
      </c>
      <c r="F241" s="8">
        <v>2460.38</v>
      </c>
      <c r="G241" s="23">
        <v>2539.4</v>
      </c>
      <c r="H241" s="19">
        <v>2618.4300000000003</v>
      </c>
      <c r="I241" s="20">
        <f t="shared" si="45"/>
        <v>2697.4600000000005</v>
      </c>
      <c r="J241" s="7">
        <f t="shared" si="46"/>
        <v>2776.4800000000005</v>
      </c>
      <c r="L241" s="4" t="s">
        <v>8</v>
      </c>
      <c r="M241" s="26" t="s">
        <v>2</v>
      </c>
      <c r="N241" s="6">
        <v>44258</v>
      </c>
      <c r="O241" s="7">
        <v>2654.8</v>
      </c>
      <c r="P241" s="6">
        <v>44259</v>
      </c>
      <c r="Q241" s="7">
        <v>2579.0500000000002</v>
      </c>
      <c r="R241" s="5">
        <v>300</v>
      </c>
      <c r="S241" s="8">
        <f t="shared" si="47"/>
        <v>-22725</v>
      </c>
      <c r="T241" s="9" t="str">
        <f t="shared" si="48"/>
        <v>FAILED</v>
      </c>
    </row>
    <row r="242" spans="2:20" x14ac:dyDescent="0.3">
      <c r="B242" s="4" t="s">
        <v>9</v>
      </c>
      <c r="C242" s="17"/>
      <c r="D242" s="18">
        <f t="shared" si="43"/>
        <v>1392.7900000000002</v>
      </c>
      <c r="E242" s="1">
        <f t="shared" si="44"/>
        <v>1439.9950000000001</v>
      </c>
      <c r="F242" s="8">
        <v>1487.2</v>
      </c>
      <c r="G242" s="23">
        <v>1534.4</v>
      </c>
      <c r="H242" s="19">
        <v>1581.61</v>
      </c>
      <c r="I242" s="20">
        <f t="shared" si="45"/>
        <v>1628.8199999999997</v>
      </c>
      <c r="J242" s="7">
        <f t="shared" si="46"/>
        <v>1676.0199999999998</v>
      </c>
      <c r="L242" s="4" t="s">
        <v>9</v>
      </c>
      <c r="M242" s="26" t="s">
        <v>2</v>
      </c>
      <c r="N242" s="6">
        <v>44257</v>
      </c>
      <c r="O242" s="7">
        <v>1568.2</v>
      </c>
      <c r="P242" s="6">
        <v>44259</v>
      </c>
      <c r="Q242" s="7">
        <v>1544.55</v>
      </c>
      <c r="R242" s="5">
        <v>550</v>
      </c>
      <c r="S242" s="8">
        <f t="shared" si="47"/>
        <v>-13007.500000000051</v>
      </c>
      <c r="T242" s="9" t="str">
        <f t="shared" si="48"/>
        <v>FAILED</v>
      </c>
    </row>
    <row r="243" spans="2:20" x14ac:dyDescent="0.3">
      <c r="B243" s="4" t="s">
        <v>41</v>
      </c>
      <c r="C243" s="17"/>
      <c r="D243" s="18">
        <f t="shared" si="43"/>
        <v>2010.33</v>
      </c>
      <c r="E243" s="1">
        <f t="shared" si="44"/>
        <v>2050.9049999999997</v>
      </c>
      <c r="F243" s="8">
        <v>2091.48</v>
      </c>
      <c r="G243" s="23">
        <v>2132.0500000000002</v>
      </c>
      <c r="H243" s="19">
        <v>2172.63</v>
      </c>
      <c r="I243" s="20">
        <f t="shared" si="45"/>
        <v>2213.21</v>
      </c>
      <c r="J243" s="7">
        <f t="shared" si="46"/>
        <v>2253.7800000000002</v>
      </c>
      <c r="L243" s="4" t="s">
        <v>41</v>
      </c>
      <c r="M243" s="26" t="s">
        <v>2</v>
      </c>
      <c r="N243" s="6">
        <v>44257</v>
      </c>
      <c r="O243" s="7">
        <v>2177.9499999999998</v>
      </c>
      <c r="P243" s="6">
        <v>44259</v>
      </c>
      <c r="Q243" s="7">
        <v>2180.6</v>
      </c>
      <c r="R243" s="5">
        <v>300</v>
      </c>
      <c r="S243" s="8">
        <f t="shared" si="47"/>
        <v>795.00000000002728</v>
      </c>
      <c r="T243" s="9" t="str">
        <f t="shared" si="48"/>
        <v>PASS</v>
      </c>
    </row>
    <row r="244" spans="2:20" x14ac:dyDescent="0.3">
      <c r="B244" s="4" t="s">
        <v>10</v>
      </c>
      <c r="C244" s="17"/>
      <c r="D244" s="18">
        <f t="shared" si="43"/>
        <v>536.02999999999986</v>
      </c>
      <c r="E244" s="1">
        <f t="shared" si="44"/>
        <v>556.6049999999999</v>
      </c>
      <c r="F244" s="8">
        <v>577.17999999999995</v>
      </c>
      <c r="G244" s="23">
        <v>597.75</v>
      </c>
      <c r="H244" s="19">
        <v>618.33000000000004</v>
      </c>
      <c r="I244" s="20">
        <f t="shared" si="45"/>
        <v>638.91000000000008</v>
      </c>
      <c r="J244" s="7">
        <f t="shared" si="46"/>
        <v>659.48000000000013</v>
      </c>
      <c r="L244" s="4" t="s">
        <v>10</v>
      </c>
      <c r="M244" s="26" t="s">
        <v>2</v>
      </c>
      <c r="N244" s="6">
        <v>44258</v>
      </c>
      <c r="O244" s="7">
        <v>632.1</v>
      </c>
      <c r="P244" s="6">
        <v>44259</v>
      </c>
      <c r="Q244" s="7">
        <v>619.65</v>
      </c>
      <c r="R244" s="5">
        <v>1375</v>
      </c>
      <c r="S244" s="8">
        <f t="shared" si="47"/>
        <v>-17118.750000000062</v>
      </c>
      <c r="T244" s="9" t="str">
        <f t="shared" si="48"/>
        <v>FAILED</v>
      </c>
    </row>
    <row r="245" spans="2:20" x14ac:dyDescent="0.3">
      <c r="B245" s="22" t="s">
        <v>11</v>
      </c>
      <c r="C245" s="17"/>
      <c r="D245" s="18">
        <f t="shared" si="43"/>
        <v>1170.07</v>
      </c>
      <c r="E245" s="1">
        <f t="shared" si="44"/>
        <v>1197.8150000000001</v>
      </c>
      <c r="F245" s="8">
        <v>1225.56</v>
      </c>
      <c r="G245" s="23">
        <v>1253.3</v>
      </c>
      <c r="H245" s="19">
        <v>1281.05</v>
      </c>
      <c r="I245" s="20">
        <f t="shared" si="45"/>
        <v>1308.8</v>
      </c>
      <c r="J245" s="7">
        <f t="shared" si="46"/>
        <v>1336.54</v>
      </c>
      <c r="L245" s="4" t="s">
        <v>11</v>
      </c>
      <c r="M245" s="26" t="s">
        <v>2</v>
      </c>
      <c r="N245" s="6">
        <v>44256</v>
      </c>
      <c r="O245" s="7">
        <v>1267</v>
      </c>
      <c r="P245" s="6">
        <v>44257</v>
      </c>
      <c r="Q245" s="7">
        <v>1308.8</v>
      </c>
      <c r="R245" s="5">
        <v>600</v>
      </c>
      <c r="S245" s="8">
        <f t="shared" si="47"/>
        <v>25079.999999999971</v>
      </c>
      <c r="T245" s="9" t="str">
        <f t="shared" si="48"/>
        <v>PASS</v>
      </c>
    </row>
    <row r="246" spans="2:20" x14ac:dyDescent="0.3">
      <c r="B246" s="4" t="s">
        <v>13</v>
      </c>
      <c r="C246" s="17"/>
      <c r="D246" s="18">
        <f t="shared" si="43"/>
        <v>6316.0599999999995</v>
      </c>
      <c r="E246" s="1">
        <f t="shared" si="44"/>
        <v>6499.4249999999993</v>
      </c>
      <c r="F246" s="8">
        <v>6682.79</v>
      </c>
      <c r="G246" s="23">
        <v>6866.15</v>
      </c>
      <c r="H246" s="19">
        <v>7049.52</v>
      </c>
      <c r="I246" s="20">
        <f t="shared" si="45"/>
        <v>7232.8900000000012</v>
      </c>
      <c r="J246" s="7">
        <f t="shared" si="46"/>
        <v>7416.2500000000009</v>
      </c>
      <c r="L246" s="4" t="s">
        <v>13</v>
      </c>
      <c r="M246" s="26" t="s">
        <v>2</v>
      </c>
      <c r="N246" s="6">
        <v>44257</v>
      </c>
      <c r="O246" s="7">
        <v>7214.1</v>
      </c>
      <c r="P246" s="6">
        <v>44259</v>
      </c>
      <c r="Q246" s="7">
        <v>7050.9</v>
      </c>
      <c r="R246" s="14">
        <v>100</v>
      </c>
      <c r="S246" s="8">
        <f t="shared" si="47"/>
        <v>-16320.000000000073</v>
      </c>
      <c r="T246" s="9" t="str">
        <f t="shared" si="48"/>
        <v>FAILED</v>
      </c>
    </row>
    <row r="247" spans="2:20" x14ac:dyDescent="0.3">
      <c r="B247" s="4" t="s">
        <v>14</v>
      </c>
      <c r="C247" s="17"/>
      <c r="D247" s="18">
        <f t="shared" si="43"/>
        <v>1914.4</v>
      </c>
      <c r="E247" s="1">
        <f t="shared" si="44"/>
        <v>1971.5350000000001</v>
      </c>
      <c r="F247" s="8">
        <v>2028.67</v>
      </c>
      <c r="G247" s="23">
        <v>2085.8000000000002</v>
      </c>
      <c r="H247" s="19">
        <v>2142.94</v>
      </c>
      <c r="I247" s="20">
        <f t="shared" si="45"/>
        <v>2200.08</v>
      </c>
      <c r="J247" s="7">
        <f t="shared" si="46"/>
        <v>2257.21</v>
      </c>
      <c r="L247" s="4" t="s">
        <v>14</v>
      </c>
      <c r="M247" s="26" t="s">
        <v>2</v>
      </c>
      <c r="N247" s="6">
        <v>44258</v>
      </c>
      <c r="O247" s="7">
        <v>2202.1</v>
      </c>
      <c r="P247" s="6">
        <v>44259</v>
      </c>
      <c r="Q247" s="7">
        <v>2168.15</v>
      </c>
      <c r="R247" s="5">
        <v>250</v>
      </c>
      <c r="S247" s="8">
        <f t="shared" si="47"/>
        <v>-8487.4999999999545</v>
      </c>
      <c r="T247" s="9" t="str">
        <f t="shared" si="48"/>
        <v>FAILED</v>
      </c>
    </row>
    <row r="248" spans="2:20" x14ac:dyDescent="0.3">
      <c r="B248" s="4" t="s">
        <v>15</v>
      </c>
      <c r="C248" s="17"/>
      <c r="D248" s="18">
        <f t="shared" si="43"/>
        <v>340.66999999999996</v>
      </c>
      <c r="E248" s="1">
        <f t="shared" si="44"/>
        <v>357.16499999999996</v>
      </c>
      <c r="F248" s="8">
        <v>373.65999999999997</v>
      </c>
      <c r="G248" s="23">
        <v>390.15</v>
      </c>
      <c r="H248" s="19">
        <v>406.65</v>
      </c>
      <c r="I248" s="20">
        <f t="shared" si="45"/>
        <v>423.15</v>
      </c>
      <c r="J248" s="7">
        <f t="shared" si="46"/>
        <v>439.64</v>
      </c>
      <c r="L248" s="4" t="s">
        <v>15</v>
      </c>
      <c r="M248" s="26" t="s">
        <v>2</v>
      </c>
      <c r="N248" s="6">
        <v>44258</v>
      </c>
      <c r="O248" s="7">
        <v>405.05</v>
      </c>
      <c r="P248" s="6">
        <v>44259</v>
      </c>
      <c r="Q248" s="7">
        <v>400.55</v>
      </c>
      <c r="R248" s="5">
        <v>3000</v>
      </c>
      <c r="S248" s="8">
        <f t="shared" si="47"/>
        <v>-13500</v>
      </c>
      <c r="T248" s="9" t="str">
        <f t="shared" si="48"/>
        <v>FAILED</v>
      </c>
    </row>
    <row r="249" spans="2:20" x14ac:dyDescent="0.3">
      <c r="B249" s="4" t="s">
        <v>16</v>
      </c>
      <c r="C249" s="17"/>
      <c r="D249" s="18">
        <f t="shared" si="43"/>
        <v>536.68999999999994</v>
      </c>
      <c r="E249" s="1">
        <f t="shared" si="44"/>
        <v>555.99499999999989</v>
      </c>
      <c r="F249" s="8">
        <v>575.29999999999995</v>
      </c>
      <c r="G249" s="23">
        <v>594.6</v>
      </c>
      <c r="H249" s="19">
        <v>613.91</v>
      </c>
      <c r="I249" s="20">
        <f t="shared" si="45"/>
        <v>633.21999999999991</v>
      </c>
      <c r="J249" s="7">
        <f t="shared" si="46"/>
        <v>652.52</v>
      </c>
      <c r="L249" s="4" t="s">
        <v>16</v>
      </c>
      <c r="M249" s="26" t="s">
        <v>2</v>
      </c>
      <c r="N249" s="6">
        <v>44257</v>
      </c>
      <c r="O249" s="7">
        <v>614.20000000000005</v>
      </c>
      <c r="P249" s="6">
        <v>44259</v>
      </c>
      <c r="Q249" s="7">
        <v>625.5</v>
      </c>
      <c r="R249" s="5">
        <v>1400</v>
      </c>
      <c r="S249" s="8">
        <f t="shared" si="47"/>
        <v>15819.999999999936</v>
      </c>
      <c r="T249" s="9" t="str">
        <f t="shared" si="48"/>
        <v>PASS</v>
      </c>
    </row>
    <row r="250" spans="2:20" x14ac:dyDescent="0.3">
      <c r="B250" s="4" t="s">
        <v>42</v>
      </c>
      <c r="C250" s="17"/>
      <c r="D250" s="18">
        <f t="shared" si="43"/>
        <v>622.83000000000004</v>
      </c>
      <c r="E250" s="1">
        <f t="shared" si="44"/>
        <v>653.60500000000002</v>
      </c>
      <c r="F250" s="8">
        <v>684.38</v>
      </c>
      <c r="G250" s="23">
        <v>715.15</v>
      </c>
      <c r="H250" s="19">
        <v>745.93</v>
      </c>
      <c r="I250" s="20">
        <f t="shared" si="45"/>
        <v>776.70999999999992</v>
      </c>
      <c r="J250" s="7">
        <f t="shared" si="46"/>
        <v>807.4799999999999</v>
      </c>
      <c r="L250" s="4" t="s">
        <v>42</v>
      </c>
      <c r="M250" s="26" t="s">
        <v>2</v>
      </c>
      <c r="N250" s="6">
        <v>44258</v>
      </c>
      <c r="O250" s="7">
        <v>777.15</v>
      </c>
      <c r="P250" s="6">
        <v>44259</v>
      </c>
      <c r="Q250" s="7">
        <v>745</v>
      </c>
      <c r="R250" s="14">
        <v>1700</v>
      </c>
      <c r="S250" s="8">
        <f t="shared" si="47"/>
        <v>-54654.999999999964</v>
      </c>
      <c r="T250" s="9" t="str">
        <f t="shared" si="48"/>
        <v>FAILED</v>
      </c>
    </row>
    <row r="251" spans="2:20" x14ac:dyDescent="0.3">
      <c r="B251" s="4" t="s">
        <v>43</v>
      </c>
      <c r="C251" s="17"/>
      <c r="D251" s="18">
        <f t="shared" si="43"/>
        <v>1275.5499999999997</v>
      </c>
      <c r="E251" s="1">
        <f t="shared" si="44"/>
        <v>1319.3349999999998</v>
      </c>
      <c r="F251" s="8">
        <v>1363.12</v>
      </c>
      <c r="G251" s="23">
        <v>1406.9</v>
      </c>
      <c r="H251" s="19">
        <v>1450.69</v>
      </c>
      <c r="I251" s="20">
        <f t="shared" si="45"/>
        <v>1494.48</v>
      </c>
      <c r="J251" s="7">
        <f t="shared" si="46"/>
        <v>1538.2600000000002</v>
      </c>
      <c r="L251" s="4" t="s">
        <v>43</v>
      </c>
      <c r="M251" s="26" t="s">
        <v>2</v>
      </c>
      <c r="N251" s="6">
        <v>44256</v>
      </c>
      <c r="O251" s="7">
        <v>1452.15</v>
      </c>
      <c r="P251" s="6">
        <v>44259</v>
      </c>
      <c r="Q251" s="7">
        <v>1459</v>
      </c>
      <c r="R251" s="5">
        <v>750</v>
      </c>
      <c r="S251" s="8">
        <f t="shared" si="47"/>
        <v>5137.4999999999318</v>
      </c>
      <c r="T251" s="9" t="str">
        <f t="shared" si="48"/>
        <v>PASS</v>
      </c>
    </row>
    <row r="252" spans="2:20" x14ac:dyDescent="0.3">
      <c r="B252" s="4" t="s">
        <v>17</v>
      </c>
      <c r="C252" s="17"/>
      <c r="D252" s="18">
        <f t="shared" si="43"/>
        <v>169.51999999999998</v>
      </c>
      <c r="E252" s="1">
        <f t="shared" si="44"/>
        <v>180.01499999999999</v>
      </c>
      <c r="F252" s="8">
        <v>190.51</v>
      </c>
      <c r="G252" s="23">
        <v>201</v>
      </c>
      <c r="H252" s="19">
        <v>211.5</v>
      </c>
      <c r="I252" s="20">
        <f t="shared" si="45"/>
        <v>222</v>
      </c>
      <c r="J252" s="7">
        <f t="shared" si="46"/>
        <v>232.49</v>
      </c>
      <c r="L252" s="4" t="s">
        <v>17</v>
      </c>
      <c r="M252" s="26" t="s">
        <v>2</v>
      </c>
      <c r="N252" s="6">
        <v>44256</v>
      </c>
      <c r="O252" s="7">
        <v>216.85</v>
      </c>
      <c r="P252" s="6">
        <v>44259</v>
      </c>
      <c r="Q252" s="7">
        <v>223.35</v>
      </c>
      <c r="R252" s="5">
        <v>3000</v>
      </c>
      <c r="S252" s="8">
        <f t="shared" si="47"/>
        <v>19500</v>
      </c>
      <c r="T252" s="9" t="str">
        <f t="shared" si="48"/>
        <v>PASS</v>
      </c>
    </row>
    <row r="253" spans="2:20" x14ac:dyDescent="0.3">
      <c r="B253" s="17"/>
    </row>
    <row r="254" spans="2:20" x14ac:dyDescent="0.3">
      <c r="B254" s="22" t="s">
        <v>18</v>
      </c>
      <c r="C254" s="17"/>
      <c r="D254" s="18">
        <f>F254-(H254-F254)</f>
        <v>13846.94</v>
      </c>
      <c r="E254" s="1">
        <f>AVERAGE(D254,F254)</f>
        <v>14074.345000000001</v>
      </c>
      <c r="F254" s="8">
        <v>14301.75</v>
      </c>
      <c r="G254" s="33">
        <v>14529.15</v>
      </c>
      <c r="H254" s="19">
        <v>14756.56</v>
      </c>
      <c r="I254" s="20">
        <f>H254+(H254-G254)</f>
        <v>14983.97</v>
      </c>
      <c r="J254" s="7">
        <f>H254+(H254-F254)</f>
        <v>15211.369999999999</v>
      </c>
      <c r="L254" s="4" t="s">
        <v>18</v>
      </c>
      <c r="M254" s="5" t="s">
        <v>2</v>
      </c>
      <c r="N254" s="6">
        <v>44256</v>
      </c>
      <c r="O254" s="7">
        <v>14761.55</v>
      </c>
      <c r="P254" s="6">
        <v>44258</v>
      </c>
      <c r="Q254" s="7">
        <v>14983.9</v>
      </c>
      <c r="R254" s="5">
        <v>75</v>
      </c>
      <c r="S254" s="8">
        <f>IF(M254="BUY",(R254*(Q254-O254)),(R254*(O254-Q254)))</f>
        <v>16676.250000000029</v>
      </c>
      <c r="T254" s="9" t="str">
        <f>IF(S254&lt;0,"FAILED",IF(S254=0,"NOTRADE","PASS"))</f>
        <v>PASS</v>
      </c>
    </row>
    <row r="255" spans="2:20" x14ac:dyDescent="0.3"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2:20" x14ac:dyDescent="0.3">
      <c r="G256" s="40"/>
      <c r="M256" s="17"/>
      <c r="N256" s="17"/>
      <c r="O256" s="17"/>
      <c r="P256" s="17"/>
      <c r="Q256" s="11" t="s">
        <v>19</v>
      </c>
      <c r="R256" s="17"/>
      <c r="S256" s="12">
        <f>SUM(S240:S254)</f>
        <v>-75180.000000000218</v>
      </c>
      <c r="T256" s="17"/>
    </row>
    <row r="257" spans="4:23" x14ac:dyDescent="0.3">
      <c r="G257" s="40"/>
    </row>
    <row r="258" spans="4:23" x14ac:dyDescent="0.3">
      <c r="G258" s="40"/>
    </row>
    <row r="271" spans="4:23" x14ac:dyDescent="0.3">
      <c r="G271" s="31" t="s">
        <v>60</v>
      </c>
      <c r="O271" s="127" t="s">
        <v>61</v>
      </c>
      <c r="P271" s="128"/>
      <c r="T271" s="2" t="s">
        <v>4</v>
      </c>
    </row>
    <row r="272" spans="4:23" x14ac:dyDescent="0.3">
      <c r="D272" s="32" t="s">
        <v>29</v>
      </c>
      <c r="E272" s="32" t="s">
        <v>30</v>
      </c>
      <c r="F272" s="32" t="s">
        <v>31</v>
      </c>
      <c r="G272" s="35" t="s">
        <v>32</v>
      </c>
      <c r="H272" s="32" t="s">
        <v>34</v>
      </c>
      <c r="I272" s="32" t="s">
        <v>30</v>
      </c>
      <c r="J272" s="32" t="s">
        <v>29</v>
      </c>
      <c r="O272" s="36"/>
      <c r="P272" s="36"/>
      <c r="Q272" s="36"/>
      <c r="T272" s="28" t="s">
        <v>62</v>
      </c>
      <c r="V272" s="34" t="s">
        <v>0</v>
      </c>
      <c r="W272" s="34" t="s">
        <v>63</v>
      </c>
    </row>
    <row r="273" spans="2:23" x14ac:dyDescent="0.3">
      <c r="B273" s="4" t="s">
        <v>7</v>
      </c>
      <c r="C273" s="17"/>
      <c r="D273" s="18">
        <f t="shared" ref="D273:D285" si="49">F273-(H273-F273)</f>
        <v>246.63999999999993</v>
      </c>
      <c r="E273" s="1">
        <f t="shared" ref="E273:E285" si="50">AVERAGE(D273,F273)</f>
        <v>257.49499999999995</v>
      </c>
      <c r="F273" s="8">
        <v>268.34999999999997</v>
      </c>
      <c r="G273" s="23">
        <v>279.2</v>
      </c>
      <c r="H273" s="19">
        <v>290.06</v>
      </c>
      <c r="I273" s="20">
        <f t="shared" ref="I273:I285" si="51">H273+(H273-G273)</f>
        <v>300.92</v>
      </c>
      <c r="J273" s="7">
        <f t="shared" ref="J273:J285" si="52">H273+(H273-F273)</f>
        <v>311.77000000000004</v>
      </c>
      <c r="L273" s="4" t="s">
        <v>7</v>
      </c>
      <c r="M273" s="37" t="s">
        <v>2</v>
      </c>
      <c r="N273" s="6">
        <v>44287</v>
      </c>
      <c r="O273" s="7">
        <v>291.8</v>
      </c>
      <c r="P273" s="6">
        <v>44291</v>
      </c>
      <c r="Q273" s="7">
        <v>279.89999999999998</v>
      </c>
      <c r="R273" s="5">
        <v>3300</v>
      </c>
      <c r="S273" s="8">
        <f t="shared" ref="S273:S285" si="53">IF(M273="BUY",(R273*(Q273-O273)),(R273*(O273-Q273)))</f>
        <v>-39270.000000000109</v>
      </c>
      <c r="T273" s="9" t="str">
        <f t="shared" ref="T273:T285" si="54">IF(S273&lt;0,"FAILED",IF(S273=0,"NOTRADE","PASS"))</f>
        <v>FAILED</v>
      </c>
      <c r="V273" s="38">
        <v>279.89999999999998</v>
      </c>
      <c r="W273" s="39">
        <v>303.70000000000005</v>
      </c>
    </row>
    <row r="274" spans="2:23" x14ac:dyDescent="0.3">
      <c r="B274" s="4" t="s">
        <v>8</v>
      </c>
      <c r="C274" s="17"/>
      <c r="D274" s="18">
        <f t="shared" si="49"/>
        <v>2337.8600000000006</v>
      </c>
      <c r="E274" s="1">
        <f t="shared" si="50"/>
        <v>2402.8250000000007</v>
      </c>
      <c r="F274" s="8">
        <v>2467.7900000000004</v>
      </c>
      <c r="G274" s="23">
        <v>2532.75</v>
      </c>
      <c r="H274" s="19">
        <v>2597.7200000000003</v>
      </c>
      <c r="I274" s="20">
        <f t="shared" si="51"/>
        <v>2662.6900000000005</v>
      </c>
      <c r="J274" s="7">
        <f t="shared" si="52"/>
        <v>2727.65</v>
      </c>
      <c r="K274" s="40"/>
      <c r="L274" s="4" t="s">
        <v>8</v>
      </c>
      <c r="M274" s="37" t="s">
        <v>2</v>
      </c>
      <c r="N274" s="6">
        <v>44285</v>
      </c>
      <c r="O274" s="7">
        <v>2605.65</v>
      </c>
      <c r="P274" s="6">
        <v>44286</v>
      </c>
      <c r="Q274" s="7">
        <v>2541.4</v>
      </c>
      <c r="R274" s="5">
        <v>300</v>
      </c>
      <c r="S274" s="8">
        <f t="shared" si="53"/>
        <v>-19275</v>
      </c>
      <c r="T274" s="9" t="str">
        <f t="shared" si="54"/>
        <v>FAILED</v>
      </c>
      <c r="V274" s="41">
        <v>2541.4</v>
      </c>
      <c r="W274" s="42">
        <v>2669.9</v>
      </c>
    </row>
    <row r="275" spans="2:23" x14ac:dyDescent="0.3">
      <c r="B275" s="4" t="s">
        <v>9</v>
      </c>
      <c r="C275" s="17"/>
      <c r="D275" s="18">
        <f t="shared" si="49"/>
        <v>1380.05</v>
      </c>
      <c r="E275" s="1">
        <f t="shared" si="50"/>
        <v>1417.135</v>
      </c>
      <c r="F275" s="8">
        <v>1454.22</v>
      </c>
      <c r="G275" s="23">
        <v>1491.3</v>
      </c>
      <c r="H275" s="19">
        <v>1528.39</v>
      </c>
      <c r="I275" s="20">
        <f t="shared" si="51"/>
        <v>1565.4800000000002</v>
      </c>
      <c r="J275" s="7">
        <f t="shared" si="52"/>
        <v>1602.5600000000002</v>
      </c>
      <c r="K275" s="40"/>
      <c r="L275" s="4" t="s">
        <v>9</v>
      </c>
      <c r="M275" s="37" t="s">
        <v>2</v>
      </c>
      <c r="N275" s="6">
        <v>44285</v>
      </c>
      <c r="O275" s="7">
        <v>1553.7</v>
      </c>
      <c r="P275" s="6">
        <v>44286</v>
      </c>
      <c r="Q275" s="7">
        <v>1515.4</v>
      </c>
      <c r="R275" s="5">
        <v>550</v>
      </c>
      <c r="S275" s="8">
        <f t="shared" si="53"/>
        <v>-21064.999999999975</v>
      </c>
      <c r="T275" s="9" t="str">
        <f t="shared" si="54"/>
        <v>FAILED</v>
      </c>
      <c r="V275" s="41">
        <v>1515.4</v>
      </c>
      <c r="W275" s="42">
        <v>1592</v>
      </c>
    </row>
    <row r="276" spans="2:23" x14ac:dyDescent="0.3">
      <c r="B276" s="4" t="s">
        <v>41</v>
      </c>
      <c r="C276" s="17"/>
      <c r="D276" s="18">
        <f t="shared" si="49"/>
        <v>2162.3100000000004</v>
      </c>
      <c r="E276" s="1">
        <f t="shared" si="50"/>
        <v>2214.1750000000002</v>
      </c>
      <c r="F276" s="8">
        <v>2266.0400000000004</v>
      </c>
      <c r="G276" s="23">
        <v>2317.9</v>
      </c>
      <c r="H276" s="19">
        <v>2369.7700000000004</v>
      </c>
      <c r="I276" s="20">
        <f t="shared" si="51"/>
        <v>2421.6400000000008</v>
      </c>
      <c r="J276" s="7">
        <f t="shared" si="52"/>
        <v>2473.5000000000005</v>
      </c>
      <c r="K276" s="16"/>
      <c r="L276" s="4" t="s">
        <v>41</v>
      </c>
      <c r="M276" s="37" t="s">
        <v>2</v>
      </c>
      <c r="N276" s="6">
        <v>44285</v>
      </c>
      <c r="O276" s="7">
        <v>2398.75</v>
      </c>
      <c r="P276" s="6">
        <v>44291</v>
      </c>
      <c r="Q276" s="7">
        <v>2453.1</v>
      </c>
      <c r="R276" s="5">
        <v>300</v>
      </c>
      <c r="S276" s="8">
        <f t="shared" si="53"/>
        <v>16304.999999999973</v>
      </c>
      <c r="T276" s="9" t="str">
        <f t="shared" si="54"/>
        <v>PASS</v>
      </c>
      <c r="V276" s="41">
        <v>2344.4</v>
      </c>
      <c r="W276" s="42">
        <v>2453.1</v>
      </c>
    </row>
    <row r="277" spans="2:23" x14ac:dyDescent="0.3">
      <c r="B277" s="4" t="s">
        <v>10</v>
      </c>
      <c r="C277" s="17"/>
      <c r="D277" s="18">
        <f t="shared" si="49"/>
        <v>527.51</v>
      </c>
      <c r="E277" s="1">
        <f t="shared" si="50"/>
        <v>544.52499999999998</v>
      </c>
      <c r="F277" s="8">
        <v>561.54</v>
      </c>
      <c r="G277" s="23">
        <v>578.54999999999995</v>
      </c>
      <c r="H277" s="19">
        <v>595.56999999999994</v>
      </c>
      <c r="I277" s="20">
        <f t="shared" si="51"/>
        <v>612.58999999999992</v>
      </c>
      <c r="J277" s="7">
        <f t="shared" si="52"/>
        <v>629.59999999999991</v>
      </c>
      <c r="L277" s="4" t="s">
        <v>10</v>
      </c>
      <c r="M277" s="37" t="s">
        <v>2</v>
      </c>
      <c r="N277" s="6">
        <v>44287</v>
      </c>
      <c r="O277" s="7">
        <v>594.4</v>
      </c>
      <c r="P277" s="6">
        <v>44291</v>
      </c>
      <c r="Q277" s="7">
        <v>574.70000000000005</v>
      </c>
      <c r="R277" s="5">
        <v>1375</v>
      </c>
      <c r="S277" s="8">
        <f t="shared" si="53"/>
        <v>-27087.499999999905</v>
      </c>
      <c r="T277" s="9" t="str">
        <f t="shared" si="54"/>
        <v>FAILED</v>
      </c>
      <c r="V277" s="41">
        <v>574.70000000000005</v>
      </c>
      <c r="W277" s="42">
        <v>614.09999999999991</v>
      </c>
    </row>
    <row r="278" spans="2:23" x14ac:dyDescent="0.3">
      <c r="B278" s="4" t="s">
        <v>11</v>
      </c>
      <c r="C278" s="17"/>
      <c r="D278" s="18">
        <f t="shared" si="49"/>
        <v>1242.74</v>
      </c>
      <c r="E278" s="1">
        <f t="shared" si="50"/>
        <v>1273.895</v>
      </c>
      <c r="F278" s="8">
        <v>1305.05</v>
      </c>
      <c r="G278" s="23">
        <v>1336.2</v>
      </c>
      <c r="H278" s="19">
        <v>1367.36</v>
      </c>
      <c r="I278" s="20">
        <f t="shared" si="51"/>
        <v>1398.5199999999998</v>
      </c>
      <c r="J278" s="7">
        <f t="shared" si="52"/>
        <v>1429.6699999999998</v>
      </c>
      <c r="L278" s="4" t="s">
        <v>11</v>
      </c>
      <c r="M278" s="37" t="s">
        <v>2</v>
      </c>
      <c r="N278" s="6">
        <v>44285</v>
      </c>
      <c r="O278" s="7">
        <v>1385.3</v>
      </c>
      <c r="P278" s="6">
        <v>44291</v>
      </c>
      <c r="Q278" s="7">
        <v>1419.2</v>
      </c>
      <c r="R278" s="5">
        <v>600</v>
      </c>
      <c r="S278" s="8">
        <f t="shared" si="53"/>
        <v>20340.000000000055</v>
      </c>
      <c r="T278" s="9" t="str">
        <f t="shared" si="54"/>
        <v>PASS</v>
      </c>
      <c r="V278" s="41">
        <v>1351.3999999999999</v>
      </c>
      <c r="W278" s="42">
        <v>1419.2</v>
      </c>
    </row>
    <row r="279" spans="2:23" x14ac:dyDescent="0.3">
      <c r="B279" s="4" t="s">
        <v>13</v>
      </c>
      <c r="C279" s="17"/>
      <c r="D279" s="18">
        <f t="shared" si="49"/>
        <v>6312.57</v>
      </c>
      <c r="E279" s="1">
        <f t="shared" si="50"/>
        <v>6469.8649999999998</v>
      </c>
      <c r="F279" s="8">
        <v>6627.16</v>
      </c>
      <c r="G279" s="23">
        <v>6784.45</v>
      </c>
      <c r="H279" s="19">
        <v>6941.75</v>
      </c>
      <c r="I279" s="20">
        <f t="shared" si="51"/>
        <v>7099.05</v>
      </c>
      <c r="J279" s="7">
        <f t="shared" si="52"/>
        <v>7256.34</v>
      </c>
      <c r="L279" s="4" t="s">
        <v>13</v>
      </c>
      <c r="M279" s="37" t="s">
        <v>2</v>
      </c>
      <c r="N279" s="6">
        <v>44287</v>
      </c>
      <c r="O279" s="7">
        <v>6923.9</v>
      </c>
      <c r="P279" s="6">
        <v>44291</v>
      </c>
      <c r="Q279" s="7">
        <v>6770.7</v>
      </c>
      <c r="R279" s="5">
        <v>100</v>
      </c>
      <c r="S279" s="8">
        <f t="shared" si="53"/>
        <v>-15319.999999999982</v>
      </c>
      <c r="T279" s="9" t="str">
        <f t="shared" si="54"/>
        <v>FAILED</v>
      </c>
      <c r="V279" s="41">
        <v>6770.7</v>
      </c>
      <c r="W279" s="42">
        <v>7077.0999999999995</v>
      </c>
    </row>
    <row r="280" spans="2:23" x14ac:dyDescent="0.3">
      <c r="B280" s="22" t="s">
        <v>14</v>
      </c>
      <c r="C280" s="17"/>
      <c r="D280" s="18">
        <f t="shared" si="49"/>
        <v>1818.54</v>
      </c>
      <c r="E280" s="1">
        <f t="shared" si="50"/>
        <v>1877.2449999999999</v>
      </c>
      <c r="F280" s="8">
        <v>1935.95</v>
      </c>
      <c r="G280" s="23">
        <v>1994.65</v>
      </c>
      <c r="H280" s="19">
        <v>2053.36</v>
      </c>
      <c r="I280" s="20">
        <f t="shared" si="51"/>
        <v>2112.0700000000002</v>
      </c>
      <c r="J280" s="7">
        <f t="shared" si="52"/>
        <v>2170.7700000000004</v>
      </c>
      <c r="L280" s="4" t="s">
        <v>14</v>
      </c>
      <c r="M280" s="43" t="s">
        <v>1</v>
      </c>
      <c r="N280" s="6">
        <v>44298</v>
      </c>
      <c r="O280" s="7">
        <v>1911.15</v>
      </c>
      <c r="P280" s="6">
        <v>44313</v>
      </c>
      <c r="Q280" s="7">
        <v>1963.1</v>
      </c>
      <c r="R280" s="5">
        <v>250</v>
      </c>
      <c r="S280" s="8">
        <f t="shared" si="53"/>
        <v>-12987.499999999955</v>
      </c>
      <c r="T280" s="9" t="str">
        <f t="shared" si="54"/>
        <v>FAILED</v>
      </c>
      <c r="V280" s="41">
        <v>1963.1</v>
      </c>
      <c r="W280" s="42">
        <v>1859.2000000000003</v>
      </c>
    </row>
    <row r="281" spans="2:23" x14ac:dyDescent="0.3">
      <c r="B281" s="4" t="s">
        <v>15</v>
      </c>
      <c r="C281" s="17"/>
      <c r="D281" s="18">
        <f t="shared" si="49"/>
        <v>323.31999999999994</v>
      </c>
      <c r="E281" s="1">
        <f t="shared" si="50"/>
        <v>334.61499999999995</v>
      </c>
      <c r="F281" s="8">
        <v>345.90999999999997</v>
      </c>
      <c r="G281" s="23">
        <v>357.2</v>
      </c>
      <c r="H281" s="19">
        <v>368.5</v>
      </c>
      <c r="I281" s="20">
        <f t="shared" si="51"/>
        <v>379.8</v>
      </c>
      <c r="J281" s="7">
        <f t="shared" si="52"/>
        <v>391.09000000000003</v>
      </c>
      <c r="L281" s="4" t="s">
        <v>15</v>
      </c>
      <c r="M281" s="37" t="s">
        <v>2</v>
      </c>
      <c r="N281" s="6">
        <v>44287</v>
      </c>
      <c r="O281" s="7">
        <v>370.65</v>
      </c>
      <c r="P281" s="6">
        <v>44291</v>
      </c>
      <c r="Q281" s="7">
        <v>358.9</v>
      </c>
      <c r="R281" s="5">
        <v>3000</v>
      </c>
      <c r="S281" s="8">
        <f t="shared" si="53"/>
        <v>-35250</v>
      </c>
      <c r="T281" s="9" t="str">
        <f t="shared" si="54"/>
        <v>FAILED</v>
      </c>
      <c r="V281" s="41">
        <v>358.9</v>
      </c>
      <c r="W281" s="42">
        <v>382.4</v>
      </c>
    </row>
    <row r="282" spans="2:23" x14ac:dyDescent="0.3">
      <c r="B282" s="4" t="s">
        <v>16</v>
      </c>
      <c r="C282" s="17"/>
      <c r="D282" s="18">
        <f t="shared" si="49"/>
        <v>539.6400000000001</v>
      </c>
      <c r="E282" s="1">
        <f t="shared" si="50"/>
        <v>555.49500000000012</v>
      </c>
      <c r="F282" s="8">
        <v>571.35</v>
      </c>
      <c r="G282" s="23">
        <v>587.20000000000005</v>
      </c>
      <c r="H282" s="19">
        <v>603.05999999999995</v>
      </c>
      <c r="I282" s="20">
        <f t="shared" si="51"/>
        <v>618.91999999999985</v>
      </c>
      <c r="J282" s="7">
        <f t="shared" si="52"/>
        <v>634.76999999999987</v>
      </c>
      <c r="L282" s="4" t="s">
        <v>16</v>
      </c>
      <c r="M282" s="37" t="s">
        <v>2</v>
      </c>
      <c r="N282" s="6">
        <v>44286</v>
      </c>
      <c r="O282" s="7">
        <v>597.79999999999995</v>
      </c>
      <c r="P282" s="6">
        <v>44287</v>
      </c>
      <c r="Q282" s="7">
        <v>612.70000000000005</v>
      </c>
      <c r="R282" s="5">
        <v>1400</v>
      </c>
      <c r="S282" s="8">
        <f t="shared" si="53"/>
        <v>20860.000000000127</v>
      </c>
      <c r="T282" s="9" t="str">
        <f t="shared" si="54"/>
        <v>PASS</v>
      </c>
      <c r="V282" s="41">
        <v>582.89999999999986</v>
      </c>
      <c r="W282" s="42">
        <v>612.70000000000005</v>
      </c>
    </row>
    <row r="283" spans="2:23" x14ac:dyDescent="0.3">
      <c r="B283" s="4" t="s">
        <v>42</v>
      </c>
      <c r="C283" s="17"/>
      <c r="D283" s="18">
        <f t="shared" si="49"/>
        <v>669.7</v>
      </c>
      <c r="E283" s="1">
        <f t="shared" si="50"/>
        <v>702.08500000000004</v>
      </c>
      <c r="F283" s="8">
        <v>734.47</v>
      </c>
      <c r="G283" s="23">
        <v>766.85</v>
      </c>
      <c r="H283" s="19">
        <v>799.24</v>
      </c>
      <c r="I283" s="20">
        <f t="shared" si="51"/>
        <v>831.63</v>
      </c>
      <c r="J283" s="7">
        <f t="shared" si="52"/>
        <v>864.01</v>
      </c>
      <c r="L283" s="4" t="s">
        <v>42</v>
      </c>
      <c r="M283" s="37" t="s">
        <v>2</v>
      </c>
      <c r="N283" s="6">
        <v>44285</v>
      </c>
      <c r="O283" s="7">
        <v>800</v>
      </c>
      <c r="P283" s="6">
        <v>44287</v>
      </c>
      <c r="Q283" s="7">
        <v>833.7</v>
      </c>
      <c r="R283" s="5">
        <v>1700</v>
      </c>
      <c r="S283" s="8">
        <f t="shared" si="53"/>
        <v>57290.00000000008</v>
      </c>
      <c r="T283" s="9" t="str">
        <f t="shared" si="54"/>
        <v>PASS</v>
      </c>
      <c r="V283" s="41">
        <v>766.3</v>
      </c>
      <c r="W283" s="42">
        <v>833.7</v>
      </c>
    </row>
    <row r="284" spans="2:23" x14ac:dyDescent="0.3">
      <c r="B284" s="4" t="s">
        <v>43</v>
      </c>
      <c r="C284" s="17"/>
      <c r="D284" s="18">
        <f t="shared" si="49"/>
        <v>1401.0500000000002</v>
      </c>
      <c r="E284" s="1">
        <f t="shared" si="50"/>
        <v>1435.9850000000001</v>
      </c>
      <c r="F284" s="8">
        <v>1470.92</v>
      </c>
      <c r="G284" s="23">
        <v>1505.85</v>
      </c>
      <c r="H284" s="19">
        <v>1540.79</v>
      </c>
      <c r="I284" s="20">
        <f t="shared" si="51"/>
        <v>1575.73</v>
      </c>
      <c r="J284" s="7">
        <f t="shared" si="52"/>
        <v>1610.6599999999999</v>
      </c>
      <c r="L284" s="4" t="s">
        <v>43</v>
      </c>
      <c r="M284" s="37" t="s">
        <v>2</v>
      </c>
      <c r="N284" s="6">
        <v>44285</v>
      </c>
      <c r="O284" s="7">
        <v>1552.2</v>
      </c>
      <c r="P284" s="6">
        <v>44287</v>
      </c>
      <c r="Q284" s="7">
        <v>1589.3</v>
      </c>
      <c r="R284" s="5">
        <v>750</v>
      </c>
      <c r="S284" s="8">
        <f t="shared" si="53"/>
        <v>27824.999999999931</v>
      </c>
      <c r="T284" s="9" t="str">
        <f t="shared" si="54"/>
        <v>PASS</v>
      </c>
      <c r="V284" s="41">
        <v>1515.1000000000001</v>
      </c>
      <c r="W284" s="42">
        <v>1589.3</v>
      </c>
    </row>
    <row r="285" spans="2:23" x14ac:dyDescent="0.3">
      <c r="B285" s="4" t="s">
        <v>17</v>
      </c>
      <c r="C285" s="17"/>
      <c r="D285" s="18">
        <f t="shared" si="49"/>
        <v>173.09</v>
      </c>
      <c r="E285" s="1">
        <f t="shared" si="50"/>
        <v>182.04500000000002</v>
      </c>
      <c r="F285" s="8">
        <v>191</v>
      </c>
      <c r="G285" s="23">
        <v>199.95</v>
      </c>
      <c r="H285" s="19">
        <v>208.91</v>
      </c>
      <c r="I285" s="20">
        <f t="shared" si="51"/>
        <v>217.87</v>
      </c>
      <c r="J285" s="7">
        <f t="shared" si="52"/>
        <v>226.82</v>
      </c>
      <c r="L285" s="4" t="s">
        <v>17</v>
      </c>
      <c r="M285" s="37" t="s">
        <v>2</v>
      </c>
      <c r="N285" s="6">
        <v>44287</v>
      </c>
      <c r="O285" s="7">
        <v>209.25</v>
      </c>
      <c r="P285" s="6">
        <v>44291</v>
      </c>
      <c r="Q285" s="7">
        <v>200.4</v>
      </c>
      <c r="R285" s="5">
        <v>3000</v>
      </c>
      <c r="S285" s="8">
        <f t="shared" si="53"/>
        <v>-26549.999999999982</v>
      </c>
      <c r="T285" s="9" t="str">
        <f t="shared" si="54"/>
        <v>FAILED</v>
      </c>
      <c r="V285" s="44">
        <v>200.4</v>
      </c>
      <c r="W285" s="45">
        <v>218.1</v>
      </c>
    </row>
    <row r="286" spans="2:23" x14ac:dyDescent="0.3">
      <c r="B286" s="17"/>
    </row>
    <row r="287" spans="2:23" x14ac:dyDescent="0.3">
      <c r="B287" s="4" t="s">
        <v>18</v>
      </c>
      <c r="C287" s="17"/>
      <c r="D287" s="18">
        <f>F287-(H287-F287)</f>
        <v>13764.220000000001</v>
      </c>
      <c r="E287" s="1">
        <f>AVERAGE(D287,F287)</f>
        <v>14011.915000000001</v>
      </c>
      <c r="F287" s="8">
        <v>14259.61</v>
      </c>
      <c r="G287" s="23">
        <v>14507.3</v>
      </c>
      <c r="H287" s="19">
        <v>14755</v>
      </c>
      <c r="I287" s="20">
        <f>H287+(H287-G287)</f>
        <v>15002.7</v>
      </c>
      <c r="J287" s="7">
        <f>H287+(H287-F287)</f>
        <v>15250.39</v>
      </c>
      <c r="L287" s="4" t="s">
        <v>18</v>
      </c>
      <c r="M287" s="37" t="s">
        <v>2</v>
      </c>
      <c r="N287" s="6">
        <v>44285</v>
      </c>
      <c r="O287" s="7">
        <v>14845.1</v>
      </c>
      <c r="P287" s="6">
        <v>44291</v>
      </c>
      <c r="Q287" s="7">
        <v>14601.5</v>
      </c>
      <c r="R287" s="5">
        <v>75</v>
      </c>
      <c r="S287" s="8">
        <f>IF(M287="BUY",(R287*(Q287-O287)),(R287*(O287-Q287)))</f>
        <v>-18270.000000000029</v>
      </c>
      <c r="T287" s="9" t="str">
        <f>IF(S287&lt;0,"FAILED",IF(S287=0,"NOTRADE","PASS"))</f>
        <v>FAILED</v>
      </c>
      <c r="V287" s="46">
        <v>14601.5</v>
      </c>
      <c r="W287" s="47">
        <v>15088.7</v>
      </c>
    </row>
    <row r="288" spans="2:23" x14ac:dyDescent="0.3"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3:20" x14ac:dyDescent="0.3">
      <c r="M289" s="17"/>
      <c r="N289" s="17"/>
      <c r="O289" s="17"/>
      <c r="P289" s="17"/>
      <c r="Q289" s="11" t="s">
        <v>19</v>
      </c>
      <c r="R289" s="17"/>
      <c r="S289" s="12">
        <f>SUM(S273:S287)</f>
        <v>-72454.999999999782</v>
      </c>
      <c r="T289" s="17"/>
    </row>
    <row r="305" spans="2:23" x14ac:dyDescent="0.3">
      <c r="G305" s="121" t="s">
        <v>125</v>
      </c>
      <c r="O305" s="127" t="s">
        <v>126</v>
      </c>
      <c r="P305" s="128"/>
      <c r="T305" s="2" t="s">
        <v>4</v>
      </c>
    </row>
    <row r="306" spans="2:23" x14ac:dyDescent="0.3">
      <c r="D306" s="32" t="s">
        <v>29</v>
      </c>
      <c r="E306" s="32" t="s">
        <v>30</v>
      </c>
      <c r="F306" s="32" t="s">
        <v>31</v>
      </c>
      <c r="G306" s="118" t="s">
        <v>32</v>
      </c>
      <c r="H306" s="32" t="s">
        <v>34</v>
      </c>
      <c r="I306" s="32" t="s">
        <v>30</v>
      </c>
      <c r="J306" s="32" t="s">
        <v>29</v>
      </c>
      <c r="O306" s="36"/>
      <c r="P306" s="36"/>
      <c r="Q306" s="36"/>
      <c r="T306" s="28" t="s">
        <v>25</v>
      </c>
      <c r="V306" s="34" t="s">
        <v>0</v>
      </c>
      <c r="W306" s="34" t="s">
        <v>63</v>
      </c>
    </row>
    <row r="307" spans="2:23" x14ac:dyDescent="0.3">
      <c r="B307" s="22" t="s">
        <v>7</v>
      </c>
      <c r="C307" s="17"/>
      <c r="D307" s="18">
        <f t="shared" ref="D307:D319" si="55">F307-(H307-F307)</f>
        <v>215.45999999999998</v>
      </c>
      <c r="E307" s="1">
        <f t="shared" ref="E307:E319" si="56">AVERAGE(D307,F307)</f>
        <v>226.07499999999999</v>
      </c>
      <c r="F307" s="8">
        <v>236.69</v>
      </c>
      <c r="G307" s="23">
        <v>247.3</v>
      </c>
      <c r="H307" s="19">
        <v>257.92</v>
      </c>
      <c r="I307" s="20">
        <f t="shared" ref="I307:I319" si="57">H307+(H307-G307)</f>
        <v>268.54000000000002</v>
      </c>
      <c r="J307" s="7">
        <f t="shared" ref="J307:J319" si="58">H307+(H307-F307)</f>
        <v>279.15000000000003</v>
      </c>
      <c r="L307" s="4" t="s">
        <v>14</v>
      </c>
      <c r="M307" s="34" t="s">
        <v>1</v>
      </c>
      <c r="N307" s="6">
        <v>44319</v>
      </c>
      <c r="O307" s="7">
        <v>1959.05</v>
      </c>
      <c r="P307" s="6">
        <v>44320</v>
      </c>
      <c r="Q307" s="7">
        <v>1920.5</v>
      </c>
      <c r="R307" s="5">
        <v>250</v>
      </c>
      <c r="S307" s="8">
        <f t="shared" ref="S307:S319" si="59">IF(M307="BUY",(R307*(Q307-O307)),(R307*(O307-Q307)))</f>
        <v>9637.4999999999891</v>
      </c>
      <c r="T307" s="9" t="str">
        <f t="shared" ref="T307:T319" si="60">IF(S307&lt;0,"FAILED",IF(S307=0,"NOTRADE","PASS"))</f>
        <v>PASS</v>
      </c>
      <c r="V307" s="41">
        <v>1997.61</v>
      </c>
      <c r="W307" s="42">
        <v>1920.5</v>
      </c>
    </row>
    <row r="308" spans="2:23" x14ac:dyDescent="0.3">
      <c r="B308" s="22" t="s">
        <v>8</v>
      </c>
      <c r="C308" s="17"/>
      <c r="D308" s="18">
        <f t="shared" si="55"/>
        <v>2193.38</v>
      </c>
      <c r="E308" s="1">
        <f t="shared" si="56"/>
        <v>2268.9549999999999</v>
      </c>
      <c r="F308" s="8">
        <v>2344.5300000000002</v>
      </c>
      <c r="G308" s="23">
        <v>2420.1</v>
      </c>
      <c r="H308" s="19">
        <v>2495.6800000000003</v>
      </c>
      <c r="I308" s="20">
        <f t="shared" si="57"/>
        <v>2571.2600000000007</v>
      </c>
      <c r="J308" s="7">
        <f t="shared" si="58"/>
        <v>2646.8300000000004</v>
      </c>
      <c r="L308" s="4" t="s">
        <v>11</v>
      </c>
      <c r="M308" s="34" t="s">
        <v>1</v>
      </c>
      <c r="N308" s="6">
        <v>44320</v>
      </c>
      <c r="O308" s="7">
        <v>1329.4</v>
      </c>
      <c r="P308" s="6">
        <v>44322</v>
      </c>
      <c r="Q308" s="7">
        <v>1359.3</v>
      </c>
      <c r="R308" s="5">
        <v>600</v>
      </c>
      <c r="S308" s="8">
        <f t="shared" si="59"/>
        <v>-17939.99999999992</v>
      </c>
      <c r="T308" s="9" t="str">
        <f t="shared" si="60"/>
        <v>FAILED</v>
      </c>
      <c r="V308" s="41">
        <v>1359.3</v>
      </c>
      <c r="W308" s="42">
        <v>1299.45</v>
      </c>
    </row>
    <row r="309" spans="2:23" x14ac:dyDescent="0.3">
      <c r="B309" s="4" t="s">
        <v>9</v>
      </c>
      <c r="C309" s="17"/>
      <c r="D309" s="18">
        <f t="shared" si="55"/>
        <v>1292.4999999999998</v>
      </c>
      <c r="E309" s="1">
        <f t="shared" si="56"/>
        <v>1332.4349999999999</v>
      </c>
      <c r="F309" s="8">
        <v>1372.37</v>
      </c>
      <c r="G309" s="23">
        <v>1412.3</v>
      </c>
      <c r="H309" s="19">
        <v>1452.24</v>
      </c>
      <c r="I309" s="20">
        <f t="shared" si="57"/>
        <v>1492.18</v>
      </c>
      <c r="J309" s="7">
        <f t="shared" si="58"/>
        <v>1532.1100000000001</v>
      </c>
      <c r="L309" s="4" t="s">
        <v>42</v>
      </c>
      <c r="M309" s="34" t="s">
        <v>2</v>
      </c>
      <c r="N309" s="6">
        <v>44320</v>
      </c>
      <c r="O309" s="7">
        <v>1063.8499999999999</v>
      </c>
      <c r="P309" s="6">
        <v>44322</v>
      </c>
      <c r="Q309" s="7">
        <v>1107.3</v>
      </c>
      <c r="R309" s="5">
        <v>850</v>
      </c>
      <c r="S309" s="8">
        <f t="shared" si="59"/>
        <v>36932.500000000036</v>
      </c>
      <c r="T309" s="9" t="str">
        <f t="shared" si="60"/>
        <v>PASS</v>
      </c>
      <c r="V309" s="41">
        <v>1020.3</v>
      </c>
      <c r="W309" s="42">
        <v>1107.3</v>
      </c>
    </row>
    <row r="310" spans="2:23" x14ac:dyDescent="0.3">
      <c r="B310" s="22" t="s">
        <v>41</v>
      </c>
      <c r="C310" s="17"/>
      <c r="D310" s="18">
        <f t="shared" si="55"/>
        <v>2181.3300000000004</v>
      </c>
      <c r="E310" s="1">
        <f t="shared" si="56"/>
        <v>2238.8050000000003</v>
      </c>
      <c r="F310" s="8">
        <v>2296.2800000000002</v>
      </c>
      <c r="G310" s="23">
        <v>2353.75</v>
      </c>
      <c r="H310" s="19">
        <v>2411.23</v>
      </c>
      <c r="I310" s="20">
        <f t="shared" si="57"/>
        <v>2468.71</v>
      </c>
      <c r="J310" s="7">
        <f t="shared" si="58"/>
        <v>2526.1799999999998</v>
      </c>
      <c r="L310" s="4" t="s">
        <v>43</v>
      </c>
      <c r="M310" s="34" t="s">
        <v>1</v>
      </c>
      <c r="N310" s="6">
        <v>44319</v>
      </c>
      <c r="O310" s="7">
        <v>1423.95</v>
      </c>
      <c r="P310" s="6">
        <v>44326</v>
      </c>
      <c r="Q310" s="7">
        <v>1465.05</v>
      </c>
      <c r="R310" s="5">
        <v>375</v>
      </c>
      <c r="S310" s="8">
        <f t="shared" si="59"/>
        <v>-15412.499999999965</v>
      </c>
      <c r="T310" s="9" t="str">
        <f t="shared" si="60"/>
        <v>FAILED</v>
      </c>
      <c r="V310" s="41">
        <v>1465.05</v>
      </c>
      <c r="W310" s="42">
        <v>1382.8</v>
      </c>
    </row>
    <row r="311" spans="2:23" x14ac:dyDescent="0.3">
      <c r="B311" s="22" t="s">
        <v>10</v>
      </c>
      <c r="C311" s="17"/>
      <c r="D311" s="18">
        <f t="shared" si="55"/>
        <v>539.41</v>
      </c>
      <c r="E311" s="1">
        <f t="shared" si="56"/>
        <v>559.77499999999998</v>
      </c>
      <c r="F311" s="8">
        <v>580.14</v>
      </c>
      <c r="G311" s="23">
        <v>600.5</v>
      </c>
      <c r="H311" s="19">
        <v>620.87</v>
      </c>
      <c r="I311" s="20">
        <f t="shared" si="57"/>
        <v>641.24</v>
      </c>
      <c r="J311" s="7">
        <f t="shared" si="58"/>
        <v>661.6</v>
      </c>
      <c r="L311" s="4" t="s">
        <v>13</v>
      </c>
      <c r="M311" s="34" t="s">
        <v>2</v>
      </c>
      <c r="N311" s="6">
        <v>44319</v>
      </c>
      <c r="O311" s="7">
        <v>6597.85</v>
      </c>
      <c r="P311" s="6">
        <v>44326</v>
      </c>
      <c r="Q311" s="7">
        <v>6763.5</v>
      </c>
      <c r="R311" s="5">
        <v>100</v>
      </c>
      <c r="S311" s="8">
        <f t="shared" si="59"/>
        <v>16564.999999999964</v>
      </c>
      <c r="T311" s="9" t="str">
        <f t="shared" si="60"/>
        <v>PASS</v>
      </c>
      <c r="V311" s="41">
        <v>6432.1</v>
      </c>
      <c r="W311" s="42">
        <v>6763.5</v>
      </c>
    </row>
    <row r="312" spans="2:23" x14ac:dyDescent="0.3">
      <c r="B312" s="22" t="s">
        <v>11</v>
      </c>
      <c r="C312" s="17"/>
      <c r="D312" s="18">
        <f t="shared" si="55"/>
        <v>1264.31</v>
      </c>
      <c r="E312" s="1">
        <f t="shared" si="56"/>
        <v>1294.3249999999998</v>
      </c>
      <c r="F312" s="8">
        <v>1324.34</v>
      </c>
      <c r="G312" s="23">
        <v>1354.35</v>
      </c>
      <c r="H312" s="19">
        <v>1384.37</v>
      </c>
      <c r="I312" s="20">
        <f t="shared" si="57"/>
        <v>1414.3899999999999</v>
      </c>
      <c r="J312" s="7">
        <f t="shared" si="58"/>
        <v>1444.3999999999999</v>
      </c>
      <c r="K312" s="17"/>
      <c r="L312" s="4" t="s">
        <v>16</v>
      </c>
      <c r="M312" s="34" t="s">
        <v>2</v>
      </c>
      <c r="N312" s="6">
        <v>44321</v>
      </c>
      <c r="O312" s="7">
        <v>683.4</v>
      </c>
      <c r="P312" s="6">
        <v>44327</v>
      </c>
      <c r="Q312" s="7">
        <v>704.5</v>
      </c>
      <c r="R312" s="5">
        <v>1400</v>
      </c>
      <c r="S312" s="8">
        <f t="shared" si="59"/>
        <v>29540.000000000033</v>
      </c>
      <c r="T312" s="9" t="str">
        <f t="shared" si="60"/>
        <v>PASS</v>
      </c>
      <c r="V312" s="41">
        <v>662.2</v>
      </c>
      <c r="W312" s="42">
        <v>704.5</v>
      </c>
    </row>
    <row r="313" spans="2:23" x14ac:dyDescent="0.3">
      <c r="B313" s="22" t="s">
        <v>13</v>
      </c>
      <c r="C313" s="17"/>
      <c r="D313" s="18">
        <f t="shared" si="55"/>
        <v>5982.09</v>
      </c>
      <c r="E313" s="1">
        <f t="shared" si="56"/>
        <v>6139.9449999999997</v>
      </c>
      <c r="F313" s="8">
        <v>6297.8</v>
      </c>
      <c r="G313" s="23">
        <v>6455.65</v>
      </c>
      <c r="H313" s="19">
        <v>6613.51</v>
      </c>
      <c r="I313" s="20">
        <f t="shared" si="57"/>
        <v>6771.3700000000008</v>
      </c>
      <c r="J313" s="7">
        <f t="shared" si="58"/>
        <v>6929.22</v>
      </c>
      <c r="K313" s="16"/>
      <c r="L313" s="4" t="s">
        <v>7</v>
      </c>
      <c r="M313" s="34" t="s">
        <v>2</v>
      </c>
      <c r="N313" s="6">
        <v>44323</v>
      </c>
      <c r="O313" s="7">
        <v>257.95</v>
      </c>
      <c r="P313" s="6">
        <v>44327</v>
      </c>
      <c r="Q313" s="7">
        <v>268.5</v>
      </c>
      <c r="R313" s="5">
        <v>3300</v>
      </c>
      <c r="S313" s="8">
        <f t="shared" si="59"/>
        <v>34815.000000000036</v>
      </c>
      <c r="T313" s="9" t="str">
        <f t="shared" si="60"/>
        <v>PASS</v>
      </c>
      <c r="V313" s="41">
        <v>247.3</v>
      </c>
      <c r="W313" s="42">
        <v>268.5</v>
      </c>
    </row>
    <row r="314" spans="2:23" x14ac:dyDescent="0.3">
      <c r="B314" s="22" t="s">
        <v>14</v>
      </c>
      <c r="C314" s="17"/>
      <c r="D314" s="18">
        <f t="shared" si="55"/>
        <v>1874.61</v>
      </c>
      <c r="E314" s="1">
        <f t="shared" si="56"/>
        <v>1914.5749999999998</v>
      </c>
      <c r="F314" s="8">
        <v>1954.54</v>
      </c>
      <c r="G314" s="23">
        <v>1994.5</v>
      </c>
      <c r="H314" s="19">
        <v>2034.47</v>
      </c>
      <c r="I314" s="20">
        <f t="shared" si="57"/>
        <v>2074.44</v>
      </c>
      <c r="J314" s="7">
        <f t="shared" si="58"/>
        <v>2114.4</v>
      </c>
      <c r="L314" s="4" t="s">
        <v>41</v>
      </c>
      <c r="M314" s="34" t="s">
        <v>2</v>
      </c>
      <c r="N314" s="6">
        <v>44319</v>
      </c>
      <c r="O314" s="7">
        <v>2408</v>
      </c>
      <c r="P314" s="6">
        <v>44328</v>
      </c>
      <c r="Q314" s="7">
        <v>2348.1999999999998</v>
      </c>
      <c r="R314" s="5">
        <v>300</v>
      </c>
      <c r="S314" s="8">
        <f t="shared" si="59"/>
        <v>-17940.000000000055</v>
      </c>
      <c r="T314" s="9" t="str">
        <f t="shared" si="60"/>
        <v>FAILED</v>
      </c>
      <c r="V314" s="41">
        <v>2348.1999999999998</v>
      </c>
      <c r="W314" s="42">
        <v>2467.6999999999998</v>
      </c>
    </row>
    <row r="315" spans="2:23" x14ac:dyDescent="0.3">
      <c r="B315" s="22" t="s">
        <v>15</v>
      </c>
      <c r="C315" s="17"/>
      <c r="D315" s="18">
        <f t="shared" si="55"/>
        <v>316.64999999999998</v>
      </c>
      <c r="E315" s="1">
        <f t="shared" si="56"/>
        <v>328.93499999999995</v>
      </c>
      <c r="F315" s="8">
        <v>341.21999999999997</v>
      </c>
      <c r="G315" s="23">
        <v>353.5</v>
      </c>
      <c r="H315" s="19">
        <v>365.78999999999996</v>
      </c>
      <c r="I315" s="20">
        <f t="shared" si="57"/>
        <v>378.07999999999993</v>
      </c>
      <c r="J315" s="7">
        <f t="shared" si="58"/>
        <v>390.35999999999996</v>
      </c>
      <c r="K315" s="16"/>
      <c r="L315" s="4" t="s">
        <v>8</v>
      </c>
      <c r="M315" s="34" t="s">
        <v>2</v>
      </c>
      <c r="N315" s="6">
        <v>44323</v>
      </c>
      <c r="O315" s="7">
        <v>2496.75</v>
      </c>
      <c r="P315" s="6">
        <v>44328</v>
      </c>
      <c r="Q315" s="7">
        <v>2422.6</v>
      </c>
      <c r="R315" s="5">
        <v>300</v>
      </c>
      <c r="S315" s="8">
        <f t="shared" si="59"/>
        <v>-22245.000000000029</v>
      </c>
      <c r="T315" s="9" t="str">
        <f t="shared" si="60"/>
        <v>FAILED</v>
      </c>
      <c r="V315" s="41">
        <v>2422.6</v>
      </c>
      <c r="W315" s="42">
        <v>2570.8000000000002</v>
      </c>
    </row>
    <row r="316" spans="2:23" x14ac:dyDescent="0.3">
      <c r="B316" s="22" t="s">
        <v>16</v>
      </c>
      <c r="C316" s="17"/>
      <c r="D316" s="18">
        <f t="shared" si="55"/>
        <v>598.94000000000005</v>
      </c>
      <c r="E316" s="1">
        <f t="shared" si="56"/>
        <v>617.44500000000005</v>
      </c>
      <c r="F316" s="8">
        <v>635.95000000000005</v>
      </c>
      <c r="G316" s="23">
        <v>654.45000000000005</v>
      </c>
      <c r="H316" s="19">
        <v>672.96</v>
      </c>
      <c r="I316" s="20">
        <f t="shared" si="57"/>
        <v>691.47</v>
      </c>
      <c r="J316" s="7">
        <f t="shared" si="58"/>
        <v>709.97</v>
      </c>
      <c r="K316" s="16"/>
      <c r="L316" s="4" t="s">
        <v>15</v>
      </c>
      <c r="M316" s="34" t="s">
        <v>2</v>
      </c>
      <c r="N316" s="6">
        <v>44326</v>
      </c>
      <c r="O316" s="7">
        <v>361.7</v>
      </c>
      <c r="P316" s="6">
        <v>44328</v>
      </c>
      <c r="Q316" s="7">
        <v>373.5</v>
      </c>
      <c r="R316" s="5">
        <v>1500</v>
      </c>
      <c r="S316" s="8">
        <f t="shared" si="59"/>
        <v>17700.000000000018</v>
      </c>
      <c r="T316" s="9" t="str">
        <f t="shared" si="60"/>
        <v>PASS</v>
      </c>
      <c r="V316" s="41">
        <v>349.7</v>
      </c>
      <c r="W316" s="42">
        <v>373.6</v>
      </c>
    </row>
    <row r="317" spans="2:23" x14ac:dyDescent="0.3">
      <c r="B317" s="22" t="s">
        <v>42</v>
      </c>
      <c r="C317" s="17"/>
      <c r="D317" s="18">
        <f t="shared" si="55"/>
        <v>903.25</v>
      </c>
      <c r="E317" s="1">
        <f t="shared" si="56"/>
        <v>946.83500000000004</v>
      </c>
      <c r="F317" s="8">
        <v>990.42</v>
      </c>
      <c r="G317" s="23">
        <v>1034</v>
      </c>
      <c r="H317" s="19">
        <v>1077.5899999999999</v>
      </c>
      <c r="I317" s="20">
        <f t="shared" si="57"/>
        <v>1121.1799999999998</v>
      </c>
      <c r="J317" s="7">
        <f t="shared" si="58"/>
        <v>1164.7599999999998</v>
      </c>
      <c r="K317" s="16"/>
      <c r="L317" s="4" t="s">
        <v>17</v>
      </c>
      <c r="M317" s="34" t="s">
        <v>2</v>
      </c>
      <c r="N317" s="6">
        <v>44326</v>
      </c>
      <c r="O317" s="7">
        <v>189</v>
      </c>
      <c r="P317" s="6">
        <v>44328</v>
      </c>
      <c r="Q317" s="7">
        <v>196.4</v>
      </c>
      <c r="R317" s="5">
        <v>3000</v>
      </c>
      <c r="S317" s="8">
        <f t="shared" si="59"/>
        <v>22200.000000000018</v>
      </c>
      <c r="T317" s="9" t="str">
        <f t="shared" si="60"/>
        <v>PASS</v>
      </c>
      <c r="V317" s="41">
        <v>181.5</v>
      </c>
      <c r="W317" s="42">
        <v>196.4</v>
      </c>
    </row>
    <row r="318" spans="2:23" x14ac:dyDescent="0.3">
      <c r="B318" s="22" t="s">
        <v>43</v>
      </c>
      <c r="C318" s="17"/>
      <c r="D318" s="18">
        <f t="shared" si="55"/>
        <v>1366.78</v>
      </c>
      <c r="E318" s="1">
        <f t="shared" si="56"/>
        <v>1408.405</v>
      </c>
      <c r="F318" s="8">
        <v>1450.03</v>
      </c>
      <c r="G318" s="23">
        <v>1491.65</v>
      </c>
      <c r="H318" s="19">
        <v>1533.28</v>
      </c>
      <c r="I318" s="20">
        <f t="shared" si="57"/>
        <v>1574.9099999999999</v>
      </c>
      <c r="J318" s="7">
        <f t="shared" si="58"/>
        <v>1616.53</v>
      </c>
      <c r="K318" s="16"/>
      <c r="L318" s="4" t="s">
        <v>9</v>
      </c>
      <c r="M318" s="34" t="s">
        <v>2</v>
      </c>
      <c r="N318" s="6">
        <v>44334</v>
      </c>
      <c r="O318" s="7">
        <v>1476.7</v>
      </c>
      <c r="P318" s="6">
        <v>44336</v>
      </c>
      <c r="Q318" s="7">
        <v>1440.1</v>
      </c>
      <c r="R318" s="5">
        <v>550</v>
      </c>
      <c r="S318" s="8">
        <f t="shared" si="59"/>
        <v>-20130.000000000076</v>
      </c>
      <c r="T318" s="9" t="str">
        <f t="shared" si="60"/>
        <v>FAILED</v>
      </c>
      <c r="V318" s="41">
        <v>1440.1</v>
      </c>
      <c r="W318" s="42">
        <v>1513.25</v>
      </c>
    </row>
    <row r="319" spans="2:23" x14ac:dyDescent="0.3">
      <c r="B319" s="22" t="s">
        <v>17</v>
      </c>
      <c r="C319" s="17"/>
      <c r="D319" s="18">
        <f t="shared" si="55"/>
        <v>163.15</v>
      </c>
      <c r="E319" s="1">
        <f t="shared" si="56"/>
        <v>170.63499999999999</v>
      </c>
      <c r="F319" s="8">
        <v>178.12</v>
      </c>
      <c r="G319" s="23">
        <v>185.6</v>
      </c>
      <c r="H319" s="19">
        <v>193.09</v>
      </c>
      <c r="I319" s="20">
        <f t="shared" si="57"/>
        <v>200.58</v>
      </c>
      <c r="J319" s="7">
        <f t="shared" si="58"/>
        <v>208.06</v>
      </c>
      <c r="L319" s="4" t="s">
        <v>10</v>
      </c>
      <c r="M319" s="34" t="s">
        <v>2</v>
      </c>
      <c r="N319" s="6">
        <v>44333</v>
      </c>
      <c r="O319" s="7">
        <v>623.6</v>
      </c>
      <c r="P319" s="6">
        <v>44337</v>
      </c>
      <c r="Q319" s="7">
        <v>641.4</v>
      </c>
      <c r="R319" s="5">
        <v>1375</v>
      </c>
      <c r="S319" s="8">
        <f t="shared" si="59"/>
        <v>24474.999999999938</v>
      </c>
      <c r="T319" s="9" t="str">
        <f t="shared" si="60"/>
        <v>PASS</v>
      </c>
      <c r="V319" s="122">
        <v>605.70000000000005</v>
      </c>
      <c r="W319" s="122">
        <v>641.4</v>
      </c>
    </row>
    <row r="320" spans="2:23" x14ac:dyDescent="0.3">
      <c r="B320" s="17"/>
      <c r="M320" s="11"/>
      <c r="N320" s="11"/>
      <c r="O320" s="11"/>
      <c r="P320" s="11"/>
      <c r="Q320" s="11"/>
    </row>
    <row r="321" spans="2:19" x14ac:dyDescent="0.3">
      <c r="B321" s="17"/>
      <c r="M321" s="11"/>
      <c r="N321" s="11"/>
      <c r="O321" s="11"/>
      <c r="P321" s="11"/>
      <c r="Q321" s="11" t="s">
        <v>19</v>
      </c>
      <c r="S321" s="123">
        <f>SUM(S307:S319)</f>
        <v>98197.499999999985</v>
      </c>
    </row>
    <row r="322" spans="2:19" x14ac:dyDescent="0.3">
      <c r="L322" s="17"/>
      <c r="M322" s="17"/>
      <c r="N322" s="17"/>
      <c r="O322" s="17"/>
      <c r="P322" s="17"/>
      <c r="Q322" s="11"/>
    </row>
  </sheetData>
  <mergeCells count="17">
    <mergeCell ref="G7:H7"/>
    <mergeCell ref="G40:H40"/>
    <mergeCell ref="G73:H73"/>
    <mergeCell ref="O271:P271"/>
    <mergeCell ref="O7:P7"/>
    <mergeCell ref="O40:P40"/>
    <mergeCell ref="O73:P73"/>
    <mergeCell ref="O106:P106"/>
    <mergeCell ref="O139:P139"/>
    <mergeCell ref="O172:P172"/>
    <mergeCell ref="O205:P205"/>
    <mergeCell ref="O238:P238"/>
    <mergeCell ref="O305:P305"/>
    <mergeCell ref="G205:H205"/>
    <mergeCell ref="G106:H106"/>
    <mergeCell ref="G139:H139"/>
    <mergeCell ref="G172:H172"/>
  </mergeCells>
  <conditionalFormatting sqref="I121">
    <cfRule type="cellIs" dxfId="260" priority="66" operator="lessThan">
      <formula>0</formula>
    </cfRule>
    <cfRule type="cellIs" dxfId="259" priority="67" operator="greaterThan">
      <formula>0</formula>
    </cfRule>
    <cfRule type="cellIs" dxfId="258" priority="68" operator="lessThan">
      <formula>0</formula>
    </cfRule>
  </conditionalFormatting>
  <conditionalFormatting sqref="J121">
    <cfRule type="containsText" dxfId="257" priority="63" operator="containsText" text="NOTRADE">
      <formula>NOT(ISERROR(SEARCH("NOTRADE",J121)))</formula>
    </cfRule>
    <cfRule type="containsText" dxfId="256" priority="64" operator="containsText" text="PASS">
      <formula>NOT(ISERROR(SEARCH("PASS",J121)))</formula>
    </cfRule>
    <cfRule type="containsText" dxfId="255" priority="65" operator="containsText" text="FAILED">
      <formula>NOT(ISERROR(SEARCH("FAILED",J121)))</formula>
    </cfRule>
  </conditionalFormatting>
  <conditionalFormatting sqref="I142:I152">
    <cfRule type="cellIs" dxfId="254" priority="60" operator="lessThan">
      <formula>0</formula>
    </cfRule>
    <cfRule type="cellIs" dxfId="253" priority="61" operator="greaterThan">
      <formula>0</formula>
    </cfRule>
    <cfRule type="cellIs" dxfId="252" priority="62" operator="lessThan">
      <formula>0</formula>
    </cfRule>
  </conditionalFormatting>
  <conditionalFormatting sqref="J142:J152">
    <cfRule type="containsText" dxfId="251" priority="57" operator="containsText" text="NOTRADE">
      <formula>NOT(ISERROR(SEARCH("NOTRADE",J142)))</formula>
    </cfRule>
    <cfRule type="containsText" dxfId="250" priority="58" operator="containsText" text="PASS">
      <formula>NOT(ISERROR(SEARCH("PASS",J142)))</formula>
    </cfRule>
    <cfRule type="containsText" dxfId="249" priority="59" operator="containsText" text="FAILED">
      <formula>NOT(ISERROR(SEARCH("FAILED",J142)))</formula>
    </cfRule>
  </conditionalFormatting>
  <conditionalFormatting sqref="S24 S7:S8 S40:S59 J289:J290 J292:J295 S21">
    <cfRule type="cellIs" dxfId="248" priority="299" operator="lessThan">
      <formula>0</formula>
    </cfRule>
    <cfRule type="cellIs" dxfId="247" priority="300" operator="greaterThan">
      <formula>0</formula>
    </cfRule>
    <cfRule type="cellIs" dxfId="246" priority="301" operator="lessThan">
      <formula>0</formula>
    </cfRule>
  </conditionalFormatting>
  <conditionalFormatting sqref="T7:T8 T40:T59 T21:T22">
    <cfRule type="containsText" dxfId="245" priority="296" operator="containsText" text="NOTRADE">
      <formula>NOT(ISERROR(SEARCH("NOTRADE",T7)))</formula>
    </cfRule>
    <cfRule type="containsText" dxfId="244" priority="297" operator="containsText" text="PASS">
      <formula>NOT(ISERROR(SEARCH("PASS",T7)))</formula>
    </cfRule>
    <cfRule type="containsText" dxfId="243" priority="298" operator="containsText" text="FAILED">
      <formula>NOT(ISERROR(SEARCH("FAILED",T7)))</formula>
    </cfRule>
  </conditionalFormatting>
  <conditionalFormatting sqref="S7:S8">
    <cfRule type="cellIs" dxfId="242" priority="293" operator="lessThan">
      <formula>0</formula>
    </cfRule>
    <cfRule type="cellIs" dxfId="241" priority="294" operator="greaterThan">
      <formula>0</formula>
    </cfRule>
    <cfRule type="cellIs" dxfId="240" priority="295" operator="lessThan">
      <formula>0</formula>
    </cfRule>
  </conditionalFormatting>
  <conditionalFormatting sqref="T7:T8">
    <cfRule type="containsText" dxfId="239" priority="290" operator="containsText" text="NOTRADE">
      <formula>NOT(ISERROR(SEARCH("NOTRADE",T7)))</formula>
    </cfRule>
    <cfRule type="containsText" dxfId="238" priority="291" operator="containsText" text="PASS">
      <formula>NOT(ISERROR(SEARCH("PASS",T7)))</formula>
    </cfRule>
    <cfRule type="containsText" dxfId="237" priority="292" operator="containsText" text="FAILED">
      <formula>NOT(ISERROR(SEARCH("FAILED",T7)))</formula>
    </cfRule>
  </conditionalFormatting>
  <conditionalFormatting sqref="T8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 J21">
    <cfRule type="cellIs" dxfId="236" priority="285" operator="lessThan">
      <formula>0</formula>
    </cfRule>
    <cfRule type="cellIs" dxfId="235" priority="286" operator="greaterThan">
      <formula>0</formula>
    </cfRule>
    <cfRule type="cellIs" dxfId="234" priority="287" operator="lessThan">
      <formula>0</formula>
    </cfRule>
  </conditionalFormatting>
  <conditionalFormatting sqref="T4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1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 J54">
    <cfRule type="cellIs" dxfId="233" priority="280" operator="lessThan">
      <formula>0</formula>
    </cfRule>
    <cfRule type="cellIs" dxfId="232" priority="281" operator="greaterThan">
      <formula>0</formula>
    </cfRule>
    <cfRule type="cellIs" dxfId="231" priority="282" operator="lessThan">
      <formula>0</formula>
    </cfRule>
  </conditionalFormatting>
  <conditionalFormatting sqref="S73:S92">
    <cfRule type="cellIs" dxfId="230" priority="277" operator="lessThan">
      <formula>0</formula>
    </cfRule>
    <cfRule type="cellIs" dxfId="229" priority="278" operator="greaterThan">
      <formula>0</formula>
    </cfRule>
    <cfRule type="cellIs" dxfId="228" priority="279" operator="lessThan">
      <formula>0</formula>
    </cfRule>
  </conditionalFormatting>
  <conditionalFormatting sqref="T73:T92">
    <cfRule type="containsText" dxfId="227" priority="274" operator="containsText" text="NOTRADE">
      <formula>NOT(ISERROR(SEARCH("NOTRADE",T73)))</formula>
    </cfRule>
    <cfRule type="containsText" dxfId="226" priority="275" operator="containsText" text="PASS">
      <formula>NOT(ISERROR(SEARCH("PASS",T73)))</formula>
    </cfRule>
    <cfRule type="containsText" dxfId="225" priority="276" operator="containsText" text="FAILED">
      <formula>NOT(ISERROR(SEARCH("FAILED",T73)))</formula>
    </cfRule>
  </conditionalFormatting>
  <conditionalFormatting sqref="S73:S92">
    <cfRule type="cellIs" dxfId="224" priority="271" operator="lessThan">
      <formula>0</formula>
    </cfRule>
    <cfRule type="cellIs" dxfId="223" priority="272" operator="greaterThan">
      <formula>0</formula>
    </cfRule>
    <cfRule type="cellIs" dxfId="222" priority="273" operator="lessThan">
      <formula>0</formula>
    </cfRule>
  </conditionalFormatting>
  <conditionalFormatting sqref="T73:T92">
    <cfRule type="containsText" dxfId="221" priority="268" operator="containsText" text="NOTRADE">
      <formula>NOT(ISERROR(SEARCH("NOTRADE",T73)))</formula>
    </cfRule>
    <cfRule type="containsText" dxfId="220" priority="269" operator="containsText" text="PASS">
      <formula>NOT(ISERROR(SEARCH("PASS",T73)))</formula>
    </cfRule>
    <cfRule type="containsText" dxfId="219" priority="270" operator="containsText" text="FAILED">
      <formula>NOT(ISERROR(SEARCH("FAILED",T73)))</formula>
    </cfRule>
  </conditionalFormatting>
  <conditionalFormatting sqref="T74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4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4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3 J87">
    <cfRule type="cellIs" dxfId="218" priority="262" operator="lessThan">
      <formula>0</formula>
    </cfRule>
    <cfRule type="cellIs" dxfId="217" priority="263" operator="greaterThan">
      <formula>0</formula>
    </cfRule>
    <cfRule type="cellIs" dxfId="216" priority="264" operator="lessThan">
      <formula>0</formula>
    </cfRule>
  </conditionalFormatting>
  <conditionalFormatting sqref="S106:S123">
    <cfRule type="cellIs" dxfId="215" priority="259" operator="lessThan">
      <formula>0</formula>
    </cfRule>
    <cfRule type="cellIs" dxfId="214" priority="260" operator="greaterThan">
      <formula>0</formula>
    </cfRule>
    <cfRule type="cellIs" dxfId="213" priority="261" operator="lessThan">
      <formula>0</formula>
    </cfRule>
  </conditionalFormatting>
  <conditionalFormatting sqref="T106:T123">
    <cfRule type="containsText" dxfId="212" priority="256" operator="containsText" text="NOTRADE">
      <formula>NOT(ISERROR(SEARCH("NOTRADE",T106)))</formula>
    </cfRule>
    <cfRule type="containsText" dxfId="211" priority="257" operator="containsText" text="PASS">
      <formula>NOT(ISERROR(SEARCH("PASS",T106)))</formula>
    </cfRule>
    <cfRule type="containsText" dxfId="210" priority="258" operator="containsText" text="FAILED">
      <formula>NOT(ISERROR(SEARCH("FAILED",T106)))</formula>
    </cfRule>
  </conditionalFormatting>
  <conditionalFormatting sqref="S106:S123">
    <cfRule type="cellIs" dxfId="209" priority="253" operator="lessThan">
      <formula>0</formula>
    </cfRule>
    <cfRule type="cellIs" dxfId="208" priority="254" operator="greaterThan">
      <formula>0</formula>
    </cfRule>
    <cfRule type="cellIs" dxfId="207" priority="255" operator="lessThan">
      <formula>0</formula>
    </cfRule>
  </conditionalFormatting>
  <conditionalFormatting sqref="T106:T123">
    <cfRule type="containsText" dxfId="206" priority="250" operator="containsText" text="NOTRADE">
      <formula>NOT(ISERROR(SEARCH("NOTRADE",T106)))</formula>
    </cfRule>
    <cfRule type="containsText" dxfId="205" priority="251" operator="containsText" text="PASS">
      <formula>NOT(ISERROR(SEARCH("PASS",T106)))</formula>
    </cfRule>
    <cfRule type="containsText" dxfId="204" priority="252" operator="containsText" text="FAILED">
      <formula>NOT(ISERROR(SEARCH("FAILED",T106)))</formula>
    </cfRule>
  </conditionalFormatting>
  <conditionalFormatting sqref="T10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7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6 J120">
    <cfRule type="cellIs" dxfId="203" priority="245" operator="lessThan">
      <formula>0</formula>
    </cfRule>
    <cfRule type="cellIs" dxfId="202" priority="246" operator="greaterThan">
      <formula>0</formula>
    </cfRule>
    <cfRule type="cellIs" dxfId="201" priority="247" operator="lessThan">
      <formula>0</formula>
    </cfRule>
  </conditionalFormatting>
  <conditionalFormatting sqref="S139:S156">
    <cfRule type="cellIs" dxfId="200" priority="242" operator="lessThan">
      <formula>0</formula>
    </cfRule>
    <cfRule type="cellIs" dxfId="199" priority="243" operator="greaterThan">
      <formula>0</formula>
    </cfRule>
    <cfRule type="cellIs" dxfId="198" priority="244" operator="lessThan">
      <formula>0</formula>
    </cfRule>
  </conditionalFormatting>
  <conditionalFormatting sqref="T139:T156">
    <cfRule type="containsText" dxfId="197" priority="239" operator="containsText" text="NOTRADE">
      <formula>NOT(ISERROR(SEARCH("NOTRADE",T139)))</formula>
    </cfRule>
    <cfRule type="containsText" dxfId="196" priority="240" operator="containsText" text="PASS">
      <formula>NOT(ISERROR(SEARCH("PASS",T139)))</formula>
    </cfRule>
    <cfRule type="containsText" dxfId="195" priority="241" operator="containsText" text="FAILED">
      <formula>NOT(ISERROR(SEARCH("FAILED",T139)))</formula>
    </cfRule>
  </conditionalFormatting>
  <conditionalFormatting sqref="S139:S156">
    <cfRule type="cellIs" dxfId="194" priority="236" operator="lessThan">
      <formula>0</formula>
    </cfRule>
    <cfRule type="cellIs" dxfId="193" priority="237" operator="greaterThan">
      <formula>0</formula>
    </cfRule>
    <cfRule type="cellIs" dxfId="192" priority="238" operator="lessThan">
      <formula>0</formula>
    </cfRule>
  </conditionalFormatting>
  <conditionalFormatting sqref="T139:T156">
    <cfRule type="containsText" dxfId="191" priority="233" operator="containsText" text="NOTRADE">
      <formula>NOT(ISERROR(SEARCH("NOTRADE",T139)))</formula>
    </cfRule>
    <cfRule type="containsText" dxfId="190" priority="234" operator="containsText" text="PASS">
      <formula>NOT(ISERROR(SEARCH("PASS",T139)))</formula>
    </cfRule>
    <cfRule type="containsText" dxfId="189" priority="235" operator="containsText" text="FAILED">
      <formula>NOT(ISERROR(SEARCH("FAILED",T139)))</formula>
    </cfRule>
  </conditionalFormatting>
  <conditionalFormatting sqref="T140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9 J153">
    <cfRule type="cellIs" dxfId="188" priority="229" operator="lessThan">
      <formula>0</formula>
    </cfRule>
    <cfRule type="cellIs" dxfId="187" priority="230" operator="greaterThan">
      <formula>0</formula>
    </cfRule>
    <cfRule type="cellIs" dxfId="186" priority="231" operator="lessThan">
      <formula>0</formula>
    </cfRule>
  </conditionalFormatting>
  <conditionalFormatting sqref="J172">
    <cfRule type="cellIs" dxfId="185" priority="226" operator="lessThan">
      <formula>0</formula>
    </cfRule>
    <cfRule type="cellIs" dxfId="184" priority="227" operator="greaterThan">
      <formula>0</formula>
    </cfRule>
    <cfRule type="cellIs" dxfId="183" priority="228" operator="lessThan">
      <formula>0</formula>
    </cfRule>
  </conditionalFormatting>
  <conditionalFormatting sqref="S172:S186 S188:S190">
    <cfRule type="cellIs" dxfId="182" priority="223" operator="lessThan">
      <formula>0</formula>
    </cfRule>
    <cfRule type="cellIs" dxfId="181" priority="224" operator="greaterThan">
      <formula>0</formula>
    </cfRule>
    <cfRule type="cellIs" dxfId="180" priority="225" operator="lessThan">
      <formula>0</formula>
    </cfRule>
  </conditionalFormatting>
  <conditionalFormatting sqref="T172:T186 T188:T190">
    <cfRule type="containsText" dxfId="179" priority="220" operator="containsText" text="NOTRADE">
      <formula>NOT(ISERROR(SEARCH("NOTRADE",T172)))</formula>
    </cfRule>
    <cfRule type="containsText" dxfId="178" priority="221" operator="containsText" text="PASS">
      <formula>NOT(ISERROR(SEARCH("PASS",T172)))</formula>
    </cfRule>
    <cfRule type="containsText" dxfId="177" priority="222" operator="containsText" text="FAILED">
      <formula>NOT(ISERROR(SEARCH("FAILED",T172)))</formula>
    </cfRule>
  </conditionalFormatting>
  <conditionalFormatting sqref="T173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5 J220">
    <cfRule type="cellIs" dxfId="176" priority="216" operator="lessThan">
      <formula>0</formula>
    </cfRule>
    <cfRule type="cellIs" dxfId="175" priority="217" operator="greaterThan">
      <formula>0</formula>
    </cfRule>
    <cfRule type="cellIs" dxfId="174" priority="218" operator="lessThan">
      <formula>0</formula>
    </cfRule>
  </conditionalFormatting>
  <conditionalFormatting sqref="S205:S223">
    <cfRule type="cellIs" dxfId="173" priority="213" operator="lessThan">
      <formula>0</formula>
    </cfRule>
    <cfRule type="cellIs" dxfId="172" priority="214" operator="greaterThan">
      <formula>0</formula>
    </cfRule>
    <cfRule type="cellIs" dxfId="171" priority="215" operator="lessThan">
      <formula>0</formula>
    </cfRule>
  </conditionalFormatting>
  <conditionalFormatting sqref="T205:T223">
    <cfRule type="containsText" dxfId="170" priority="210" operator="containsText" text="NOTRADE">
      <formula>NOT(ISERROR(SEARCH("NOTRADE",T205)))</formula>
    </cfRule>
    <cfRule type="containsText" dxfId="169" priority="211" operator="containsText" text="PASS">
      <formula>NOT(ISERROR(SEARCH("PASS",T205)))</formula>
    </cfRule>
    <cfRule type="containsText" dxfId="168" priority="212" operator="containsText" text="FAILED">
      <formula>NOT(ISERROR(SEARCH("FAILED",T205)))</formula>
    </cfRule>
  </conditionalFormatting>
  <conditionalFormatting sqref="T206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8 I241:I254">
    <cfRule type="cellIs" dxfId="167" priority="206" operator="lessThan">
      <formula>0</formula>
    </cfRule>
    <cfRule type="cellIs" dxfId="166" priority="207" operator="greaterThan">
      <formula>0</formula>
    </cfRule>
    <cfRule type="cellIs" dxfId="165" priority="208" operator="lessThan">
      <formula>0</formula>
    </cfRule>
  </conditionalFormatting>
  <conditionalFormatting sqref="J241:J254">
    <cfRule type="containsText" dxfId="164" priority="203" operator="containsText" text="NOTRADE">
      <formula>NOT(ISERROR(SEARCH("NOTRADE",J241)))</formula>
    </cfRule>
    <cfRule type="containsText" dxfId="163" priority="204" operator="containsText" text="PASS">
      <formula>NOT(ISERROR(SEARCH("PASS",J241)))</formula>
    </cfRule>
    <cfRule type="containsText" dxfId="162" priority="205" operator="containsText" text="FAILED">
      <formula>NOT(ISERROR(SEARCH("FAILED",J241)))</formula>
    </cfRule>
  </conditionalFormatting>
  <conditionalFormatting sqref="S238:S256">
    <cfRule type="cellIs" dxfId="161" priority="200" operator="lessThan">
      <formula>0</formula>
    </cfRule>
    <cfRule type="cellIs" dxfId="160" priority="201" operator="greaterThan">
      <formula>0</formula>
    </cfRule>
    <cfRule type="cellIs" dxfId="159" priority="202" operator="lessThan">
      <formula>0</formula>
    </cfRule>
  </conditionalFormatting>
  <conditionalFormatting sqref="T238:T256">
    <cfRule type="containsText" dxfId="158" priority="197" operator="containsText" text="NOTRADE">
      <formula>NOT(ISERROR(SEARCH("NOTRADE",T238)))</formula>
    </cfRule>
    <cfRule type="containsText" dxfId="157" priority="198" operator="containsText" text="PASS">
      <formula>NOT(ISERROR(SEARCH("PASS",T238)))</formula>
    </cfRule>
    <cfRule type="containsText" dxfId="156" priority="199" operator="containsText" text="FAILED">
      <formula>NOT(ISERROR(SEARCH("FAILED",T238)))</formula>
    </cfRule>
  </conditionalFormatting>
  <conditionalFormatting sqref="T239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1 I272:I285 I287">
    <cfRule type="cellIs" dxfId="155" priority="193" operator="lessThan">
      <formula>0</formula>
    </cfRule>
    <cfRule type="cellIs" dxfId="154" priority="194" operator="greaterThan">
      <formula>0</formula>
    </cfRule>
    <cfRule type="cellIs" dxfId="153" priority="195" operator="lessThan">
      <formula>0</formula>
    </cfRule>
  </conditionalFormatting>
  <conditionalFormatting sqref="J272:J287">
    <cfRule type="containsText" dxfId="152" priority="190" operator="containsText" text="NOTRADE">
      <formula>NOT(ISERROR(SEARCH("NOTRADE",J272)))</formula>
    </cfRule>
    <cfRule type="containsText" dxfId="151" priority="191" operator="containsText" text="PASS">
      <formula>NOT(ISERROR(SEARCH("PASS",J272)))</formula>
    </cfRule>
    <cfRule type="containsText" dxfId="150" priority="192" operator="containsText" text="FAILED">
      <formula>NOT(ISERROR(SEARCH("FAILED",J272)))</formula>
    </cfRule>
  </conditionalFormatting>
  <conditionalFormatting sqref="S271:S289">
    <cfRule type="cellIs" dxfId="149" priority="187" operator="lessThan">
      <formula>0</formula>
    </cfRule>
    <cfRule type="cellIs" dxfId="148" priority="188" operator="greaterThan">
      <formula>0</formula>
    </cfRule>
    <cfRule type="cellIs" dxfId="147" priority="189" operator="lessThan">
      <formula>0</formula>
    </cfRule>
  </conditionalFormatting>
  <conditionalFormatting sqref="T271:T289">
    <cfRule type="containsText" dxfId="146" priority="184" operator="containsText" text="NOTRADE">
      <formula>NOT(ISERROR(SEARCH("NOTRADE",T271)))</formula>
    </cfRule>
    <cfRule type="containsText" dxfId="145" priority="185" operator="containsText" text="PASS">
      <formula>NOT(ISERROR(SEARCH("PASS",T271)))</formula>
    </cfRule>
    <cfRule type="containsText" dxfId="144" priority="186" operator="containsText" text="FAILED">
      <formula>NOT(ISERROR(SEARCH("FAILED",T271)))</formula>
    </cfRule>
  </conditionalFormatting>
  <conditionalFormatting sqref="T272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T20">
    <cfRule type="containsText" dxfId="143" priority="180" operator="containsText" text="NOTRADE">
      <formula>NOT(ISERROR(SEARCH("NOTRADE",T9)))</formula>
    </cfRule>
    <cfRule type="containsText" dxfId="142" priority="181" operator="containsText" text="PASS">
      <formula>NOT(ISERROR(SEARCH("PASS",T9)))</formula>
    </cfRule>
    <cfRule type="containsText" dxfId="141" priority="182" operator="containsText" text="FAILED">
      <formula>NOT(ISERROR(SEARCH("FAILED",T9)))</formula>
    </cfRule>
  </conditionalFormatting>
  <conditionalFormatting sqref="S9">
    <cfRule type="cellIs" dxfId="140" priority="177" operator="lessThan">
      <formula>0</formula>
    </cfRule>
    <cfRule type="cellIs" dxfId="139" priority="178" operator="greaterThan">
      <formula>0</formula>
    </cfRule>
    <cfRule type="cellIs" dxfId="138" priority="179" operator="lessThan">
      <formula>0</formula>
    </cfRule>
  </conditionalFormatting>
  <conditionalFormatting sqref="S10:S20">
    <cfRule type="cellIs" dxfId="137" priority="174" operator="lessThan">
      <formula>0</formula>
    </cfRule>
    <cfRule type="cellIs" dxfId="136" priority="175" operator="greaterThan">
      <formula>0</formula>
    </cfRule>
    <cfRule type="cellIs" dxfId="135" priority="176" operator="lessThan">
      <formula>0</formula>
    </cfRule>
  </conditionalFormatting>
  <conditionalFormatting sqref="S22">
    <cfRule type="cellIs" dxfId="134" priority="171" operator="lessThan">
      <formula>0</formula>
    </cfRule>
    <cfRule type="cellIs" dxfId="133" priority="172" operator="greaterThan">
      <formula>0</formula>
    </cfRule>
    <cfRule type="cellIs" dxfId="132" priority="173" operator="lessThan">
      <formula>0</formula>
    </cfRule>
  </conditionalFormatting>
  <conditionalFormatting sqref="I208:I219">
    <cfRule type="cellIs" dxfId="131" priority="36" operator="lessThan">
      <formula>0</formula>
    </cfRule>
    <cfRule type="cellIs" dxfId="130" priority="37" operator="greaterThan">
      <formula>0</formula>
    </cfRule>
    <cfRule type="cellIs" dxfId="129" priority="38" operator="lessThan">
      <formula>0</formula>
    </cfRule>
  </conditionalFormatting>
  <conditionalFormatting sqref="J208:J219">
    <cfRule type="containsText" dxfId="128" priority="33" operator="containsText" text="NOTRADE">
      <formula>NOT(ISERROR(SEARCH("NOTRADE",J208)))</formula>
    </cfRule>
    <cfRule type="containsText" dxfId="127" priority="34" operator="containsText" text="PASS">
      <formula>NOT(ISERROR(SEARCH("PASS",J208)))</formula>
    </cfRule>
    <cfRule type="containsText" dxfId="126" priority="35" operator="containsText" text="FAILED">
      <formula>NOT(ISERROR(SEARCH("FAILED",J208)))</formula>
    </cfRule>
  </conditionalFormatting>
  <conditionalFormatting sqref="I239:I240">
    <cfRule type="cellIs" dxfId="125" priority="156" operator="lessThan">
      <formula>0</formula>
    </cfRule>
    <cfRule type="cellIs" dxfId="124" priority="157" operator="greaterThan">
      <formula>0</formula>
    </cfRule>
    <cfRule type="cellIs" dxfId="123" priority="158" operator="lessThan">
      <formula>0</formula>
    </cfRule>
  </conditionalFormatting>
  <conditionalFormatting sqref="J239:J240">
    <cfRule type="containsText" dxfId="122" priority="153" operator="containsText" text="NOTRADE">
      <formula>NOT(ISERROR(SEARCH("NOTRADE",J239)))</formula>
    </cfRule>
    <cfRule type="containsText" dxfId="121" priority="154" operator="containsText" text="PASS">
      <formula>NOT(ISERROR(SEARCH("PASS",J239)))</formula>
    </cfRule>
    <cfRule type="containsText" dxfId="120" priority="155" operator="containsText" text="FAILED">
      <formula>NOT(ISERROR(SEARCH("FAILED",J239)))</formula>
    </cfRule>
  </conditionalFormatting>
  <conditionalFormatting sqref="I206:I207">
    <cfRule type="cellIs" dxfId="119" priority="150" operator="lessThan">
      <formula>0</formula>
    </cfRule>
    <cfRule type="cellIs" dxfId="118" priority="151" operator="greaterThan">
      <formula>0</formula>
    </cfRule>
    <cfRule type="cellIs" dxfId="117" priority="152" operator="lessThan">
      <formula>0</formula>
    </cfRule>
  </conditionalFormatting>
  <conditionalFormatting sqref="J206:J207">
    <cfRule type="containsText" dxfId="116" priority="147" operator="containsText" text="NOTRADE">
      <formula>NOT(ISERROR(SEARCH("NOTRADE",J206)))</formula>
    </cfRule>
    <cfRule type="containsText" dxfId="115" priority="148" operator="containsText" text="PASS">
      <formula>NOT(ISERROR(SEARCH("PASS",J206)))</formula>
    </cfRule>
    <cfRule type="containsText" dxfId="114" priority="149" operator="containsText" text="FAILED">
      <formula>NOT(ISERROR(SEARCH("FAILED",J206)))</formula>
    </cfRule>
  </conditionalFormatting>
  <conditionalFormatting sqref="I173:I174">
    <cfRule type="cellIs" dxfId="113" priority="144" operator="lessThan">
      <formula>0</formula>
    </cfRule>
    <cfRule type="cellIs" dxfId="112" priority="145" operator="greaterThan">
      <formula>0</formula>
    </cfRule>
    <cfRule type="cellIs" dxfId="111" priority="146" operator="lessThan">
      <formula>0</formula>
    </cfRule>
  </conditionalFormatting>
  <conditionalFormatting sqref="J173:J174">
    <cfRule type="containsText" dxfId="110" priority="141" operator="containsText" text="NOTRADE">
      <formula>NOT(ISERROR(SEARCH("NOTRADE",J173)))</formula>
    </cfRule>
    <cfRule type="containsText" dxfId="109" priority="142" operator="containsText" text="PASS">
      <formula>NOT(ISERROR(SEARCH("PASS",J173)))</formula>
    </cfRule>
    <cfRule type="containsText" dxfId="108" priority="143" operator="containsText" text="FAILED">
      <formula>NOT(ISERROR(SEARCH("FAILED",J173)))</formula>
    </cfRule>
  </conditionalFormatting>
  <conditionalFormatting sqref="I140:I141">
    <cfRule type="cellIs" dxfId="107" priority="138" operator="lessThan">
      <formula>0</formula>
    </cfRule>
    <cfRule type="cellIs" dxfId="106" priority="139" operator="greaterThan">
      <formula>0</formula>
    </cfRule>
    <cfRule type="cellIs" dxfId="105" priority="140" operator="lessThan">
      <formula>0</formula>
    </cfRule>
  </conditionalFormatting>
  <conditionalFormatting sqref="J140:J141">
    <cfRule type="containsText" dxfId="104" priority="135" operator="containsText" text="NOTRADE">
      <formula>NOT(ISERROR(SEARCH("NOTRADE",J140)))</formula>
    </cfRule>
    <cfRule type="containsText" dxfId="103" priority="136" operator="containsText" text="PASS">
      <formula>NOT(ISERROR(SEARCH("PASS",J140)))</formula>
    </cfRule>
    <cfRule type="containsText" dxfId="102" priority="137" operator="containsText" text="FAILED">
      <formula>NOT(ISERROR(SEARCH("FAILED",J140)))</formula>
    </cfRule>
  </conditionalFormatting>
  <conditionalFormatting sqref="I107:I108">
    <cfRule type="cellIs" dxfId="101" priority="132" operator="lessThan">
      <formula>0</formula>
    </cfRule>
    <cfRule type="cellIs" dxfId="100" priority="133" operator="greaterThan">
      <formula>0</formula>
    </cfRule>
    <cfRule type="cellIs" dxfId="99" priority="134" operator="lessThan">
      <formula>0</formula>
    </cfRule>
  </conditionalFormatting>
  <conditionalFormatting sqref="J107:J108">
    <cfRule type="containsText" dxfId="98" priority="129" operator="containsText" text="NOTRADE">
      <formula>NOT(ISERROR(SEARCH("NOTRADE",J107)))</formula>
    </cfRule>
    <cfRule type="containsText" dxfId="97" priority="130" operator="containsText" text="PASS">
      <formula>NOT(ISERROR(SEARCH("PASS",J107)))</formula>
    </cfRule>
    <cfRule type="containsText" dxfId="96" priority="131" operator="containsText" text="FAILED">
      <formula>NOT(ISERROR(SEARCH("FAILED",J107)))</formula>
    </cfRule>
  </conditionalFormatting>
  <conditionalFormatting sqref="I74:I75">
    <cfRule type="cellIs" dxfId="95" priority="126" operator="lessThan">
      <formula>0</formula>
    </cfRule>
    <cfRule type="cellIs" dxfId="94" priority="127" operator="greaterThan">
      <formula>0</formula>
    </cfRule>
    <cfRule type="cellIs" dxfId="93" priority="128" operator="lessThan">
      <formula>0</formula>
    </cfRule>
  </conditionalFormatting>
  <conditionalFormatting sqref="J74:J75">
    <cfRule type="containsText" dxfId="92" priority="123" operator="containsText" text="NOTRADE">
      <formula>NOT(ISERROR(SEARCH("NOTRADE",J74)))</formula>
    </cfRule>
    <cfRule type="containsText" dxfId="91" priority="124" operator="containsText" text="PASS">
      <formula>NOT(ISERROR(SEARCH("PASS",J74)))</formula>
    </cfRule>
    <cfRule type="containsText" dxfId="90" priority="125" operator="containsText" text="FAILED">
      <formula>NOT(ISERROR(SEARCH("FAILED",J74)))</formula>
    </cfRule>
  </conditionalFormatting>
  <conditionalFormatting sqref="I41:I42">
    <cfRule type="cellIs" dxfId="89" priority="120" operator="lessThan">
      <formula>0</formula>
    </cfRule>
    <cfRule type="cellIs" dxfId="88" priority="121" operator="greaterThan">
      <formula>0</formula>
    </cfRule>
    <cfRule type="cellIs" dxfId="87" priority="122" operator="lessThan">
      <formula>0</formula>
    </cfRule>
  </conditionalFormatting>
  <conditionalFormatting sqref="J41:J42">
    <cfRule type="containsText" dxfId="86" priority="117" operator="containsText" text="NOTRADE">
      <formula>NOT(ISERROR(SEARCH("NOTRADE",J41)))</formula>
    </cfRule>
    <cfRule type="containsText" dxfId="85" priority="118" operator="containsText" text="PASS">
      <formula>NOT(ISERROR(SEARCH("PASS",J41)))</formula>
    </cfRule>
    <cfRule type="containsText" dxfId="84" priority="119" operator="containsText" text="FAILED">
      <formula>NOT(ISERROR(SEARCH("FAILED",J41)))</formula>
    </cfRule>
  </conditionalFormatting>
  <conditionalFormatting sqref="I8:I9">
    <cfRule type="cellIs" dxfId="83" priority="114" operator="lessThan">
      <formula>0</formula>
    </cfRule>
    <cfRule type="cellIs" dxfId="82" priority="115" operator="greaterThan">
      <formula>0</formula>
    </cfRule>
    <cfRule type="cellIs" dxfId="81" priority="116" operator="lessThan">
      <formula>0</formula>
    </cfRule>
  </conditionalFormatting>
  <conditionalFormatting sqref="J8:J9">
    <cfRule type="containsText" dxfId="80" priority="111" operator="containsText" text="NOTRADE">
      <formula>NOT(ISERROR(SEARCH("NOTRADE",J8)))</formula>
    </cfRule>
    <cfRule type="containsText" dxfId="79" priority="112" operator="containsText" text="PASS">
      <formula>NOT(ISERROR(SEARCH("PASS",J8)))</formula>
    </cfRule>
    <cfRule type="containsText" dxfId="78" priority="113" operator="containsText" text="FAILED">
      <formula>NOT(ISERROR(SEARCH("FAILED",J8)))</formula>
    </cfRule>
  </conditionalFormatting>
  <conditionalFormatting sqref="I10:I20">
    <cfRule type="cellIs" dxfId="77" priority="108" operator="lessThan">
      <formula>0</formula>
    </cfRule>
    <cfRule type="cellIs" dxfId="76" priority="109" operator="greaterThan">
      <formula>0</formula>
    </cfRule>
    <cfRule type="cellIs" dxfId="75" priority="110" operator="lessThan">
      <formula>0</formula>
    </cfRule>
  </conditionalFormatting>
  <conditionalFormatting sqref="J10:J20">
    <cfRule type="containsText" dxfId="74" priority="105" operator="containsText" text="NOTRADE">
      <formula>NOT(ISERROR(SEARCH("NOTRADE",J10)))</formula>
    </cfRule>
    <cfRule type="containsText" dxfId="73" priority="106" operator="containsText" text="PASS">
      <formula>NOT(ISERROR(SEARCH("PASS",J10)))</formula>
    </cfRule>
    <cfRule type="containsText" dxfId="72" priority="107" operator="containsText" text="FAILED">
      <formula>NOT(ISERROR(SEARCH("FAILED",J10)))</formula>
    </cfRule>
  </conditionalFormatting>
  <conditionalFormatting sqref="I22">
    <cfRule type="cellIs" dxfId="71" priority="102" operator="lessThan">
      <formula>0</formula>
    </cfRule>
    <cfRule type="cellIs" dxfId="70" priority="103" operator="greaterThan">
      <formula>0</formula>
    </cfRule>
    <cfRule type="cellIs" dxfId="69" priority="104" operator="lessThan">
      <formula>0</formula>
    </cfRule>
  </conditionalFormatting>
  <conditionalFormatting sqref="J22">
    <cfRule type="containsText" dxfId="68" priority="99" operator="containsText" text="NOTRADE">
      <formula>NOT(ISERROR(SEARCH("NOTRADE",J22)))</formula>
    </cfRule>
    <cfRule type="containsText" dxfId="67" priority="100" operator="containsText" text="PASS">
      <formula>NOT(ISERROR(SEARCH("PASS",J22)))</formula>
    </cfRule>
    <cfRule type="containsText" dxfId="66" priority="101" operator="containsText" text="FAILED">
      <formula>NOT(ISERROR(SEARCH("FAILED",J22)))</formula>
    </cfRule>
  </conditionalFormatting>
  <conditionalFormatting sqref="I43:I53">
    <cfRule type="cellIs" dxfId="65" priority="96" operator="lessThan">
      <formula>0</formula>
    </cfRule>
    <cfRule type="cellIs" dxfId="64" priority="97" operator="greaterThan">
      <formula>0</formula>
    </cfRule>
    <cfRule type="cellIs" dxfId="63" priority="98" operator="lessThan">
      <formula>0</formula>
    </cfRule>
  </conditionalFormatting>
  <conditionalFormatting sqref="J43:J53">
    <cfRule type="containsText" dxfId="62" priority="93" operator="containsText" text="NOTRADE">
      <formula>NOT(ISERROR(SEARCH("NOTRADE",J43)))</formula>
    </cfRule>
    <cfRule type="containsText" dxfId="61" priority="94" operator="containsText" text="PASS">
      <formula>NOT(ISERROR(SEARCH("PASS",J43)))</formula>
    </cfRule>
    <cfRule type="containsText" dxfId="60" priority="95" operator="containsText" text="FAILED">
      <formula>NOT(ISERROR(SEARCH("FAILED",J43)))</formula>
    </cfRule>
  </conditionalFormatting>
  <conditionalFormatting sqref="I55">
    <cfRule type="cellIs" dxfId="59" priority="90" operator="lessThan">
      <formula>0</formula>
    </cfRule>
    <cfRule type="cellIs" dxfId="58" priority="91" operator="greaterThan">
      <formula>0</formula>
    </cfRule>
    <cfRule type="cellIs" dxfId="57" priority="92" operator="lessThan">
      <formula>0</formula>
    </cfRule>
  </conditionalFormatting>
  <conditionalFormatting sqref="J55">
    <cfRule type="containsText" dxfId="56" priority="87" operator="containsText" text="NOTRADE">
      <formula>NOT(ISERROR(SEARCH("NOTRADE",J55)))</formula>
    </cfRule>
    <cfRule type="containsText" dxfId="55" priority="88" operator="containsText" text="PASS">
      <formula>NOT(ISERROR(SEARCH("PASS",J55)))</formula>
    </cfRule>
    <cfRule type="containsText" dxfId="54" priority="89" operator="containsText" text="FAILED">
      <formula>NOT(ISERROR(SEARCH("FAILED",J55)))</formula>
    </cfRule>
  </conditionalFormatting>
  <conditionalFormatting sqref="I76:I86">
    <cfRule type="cellIs" dxfId="53" priority="84" operator="lessThan">
      <formula>0</formula>
    </cfRule>
    <cfRule type="cellIs" dxfId="52" priority="85" operator="greaterThan">
      <formula>0</formula>
    </cfRule>
    <cfRule type="cellIs" dxfId="51" priority="86" operator="lessThan">
      <formula>0</formula>
    </cfRule>
  </conditionalFormatting>
  <conditionalFormatting sqref="J76:J86">
    <cfRule type="containsText" dxfId="50" priority="81" operator="containsText" text="NOTRADE">
      <formula>NOT(ISERROR(SEARCH("NOTRADE",J76)))</formula>
    </cfRule>
    <cfRule type="containsText" dxfId="49" priority="82" operator="containsText" text="PASS">
      <formula>NOT(ISERROR(SEARCH("PASS",J76)))</formula>
    </cfRule>
    <cfRule type="containsText" dxfId="48" priority="83" operator="containsText" text="FAILED">
      <formula>NOT(ISERROR(SEARCH("FAILED",J76)))</formula>
    </cfRule>
  </conditionalFormatting>
  <conditionalFormatting sqref="I88">
    <cfRule type="cellIs" dxfId="47" priority="78" operator="lessThan">
      <formula>0</formula>
    </cfRule>
    <cfRule type="cellIs" dxfId="46" priority="79" operator="greaterThan">
      <formula>0</formula>
    </cfRule>
    <cfRule type="cellIs" dxfId="45" priority="80" operator="lessThan">
      <formula>0</formula>
    </cfRule>
  </conditionalFormatting>
  <conditionalFormatting sqref="J88">
    <cfRule type="containsText" dxfId="44" priority="75" operator="containsText" text="NOTRADE">
      <formula>NOT(ISERROR(SEARCH("NOTRADE",J88)))</formula>
    </cfRule>
    <cfRule type="containsText" dxfId="43" priority="76" operator="containsText" text="PASS">
      <formula>NOT(ISERROR(SEARCH("PASS",J88)))</formula>
    </cfRule>
    <cfRule type="containsText" dxfId="42" priority="77" operator="containsText" text="FAILED">
      <formula>NOT(ISERROR(SEARCH("FAILED",J88)))</formula>
    </cfRule>
  </conditionalFormatting>
  <conditionalFormatting sqref="I109:I119">
    <cfRule type="cellIs" dxfId="41" priority="72" operator="lessThan">
      <formula>0</formula>
    </cfRule>
    <cfRule type="cellIs" dxfId="40" priority="73" operator="greaterThan">
      <formula>0</formula>
    </cfRule>
    <cfRule type="cellIs" dxfId="39" priority="74" operator="lessThan">
      <formula>0</formula>
    </cfRule>
  </conditionalFormatting>
  <conditionalFormatting sqref="J109:J119">
    <cfRule type="containsText" dxfId="38" priority="69" operator="containsText" text="NOTRADE">
      <formula>NOT(ISERROR(SEARCH("NOTRADE",J109)))</formula>
    </cfRule>
    <cfRule type="containsText" dxfId="37" priority="70" operator="containsText" text="PASS">
      <formula>NOT(ISERROR(SEARCH("PASS",J109)))</formula>
    </cfRule>
    <cfRule type="containsText" dxfId="36" priority="71" operator="containsText" text="FAILED">
      <formula>NOT(ISERROR(SEARCH("FAILED",J109)))</formula>
    </cfRule>
  </conditionalFormatting>
  <conditionalFormatting sqref="I154">
    <cfRule type="cellIs" dxfId="35" priority="54" operator="lessThan">
      <formula>0</formula>
    </cfRule>
    <cfRule type="cellIs" dxfId="34" priority="55" operator="greaterThan">
      <formula>0</formula>
    </cfRule>
    <cfRule type="cellIs" dxfId="33" priority="56" operator="lessThan">
      <formula>0</formula>
    </cfRule>
  </conditionalFormatting>
  <conditionalFormatting sqref="J154">
    <cfRule type="containsText" dxfId="32" priority="51" operator="containsText" text="NOTRADE">
      <formula>NOT(ISERROR(SEARCH("NOTRADE",J154)))</formula>
    </cfRule>
    <cfRule type="containsText" dxfId="31" priority="52" operator="containsText" text="PASS">
      <formula>NOT(ISERROR(SEARCH("PASS",J154)))</formula>
    </cfRule>
    <cfRule type="containsText" dxfId="30" priority="53" operator="containsText" text="FAILED">
      <formula>NOT(ISERROR(SEARCH("FAILED",J154)))</formula>
    </cfRule>
  </conditionalFormatting>
  <conditionalFormatting sqref="I175:I186">
    <cfRule type="cellIs" dxfId="29" priority="48" operator="lessThan">
      <formula>0</formula>
    </cfRule>
    <cfRule type="cellIs" dxfId="28" priority="49" operator="greaterThan">
      <formula>0</formula>
    </cfRule>
    <cfRule type="cellIs" dxfId="27" priority="50" operator="lessThan">
      <formula>0</formula>
    </cfRule>
  </conditionalFormatting>
  <conditionalFormatting sqref="J175:J186">
    <cfRule type="containsText" dxfId="26" priority="45" operator="containsText" text="NOTRADE">
      <formula>NOT(ISERROR(SEARCH("NOTRADE",J175)))</formula>
    </cfRule>
    <cfRule type="containsText" dxfId="25" priority="46" operator="containsText" text="PASS">
      <formula>NOT(ISERROR(SEARCH("PASS",J175)))</formula>
    </cfRule>
    <cfRule type="containsText" dxfId="24" priority="47" operator="containsText" text="FAILED">
      <formula>NOT(ISERROR(SEARCH("FAILED",J175)))</formula>
    </cfRule>
  </conditionalFormatting>
  <conditionalFormatting sqref="I188">
    <cfRule type="cellIs" dxfId="23" priority="42" operator="lessThan">
      <formula>0</formula>
    </cfRule>
    <cfRule type="cellIs" dxfId="22" priority="43" operator="greaterThan">
      <formula>0</formula>
    </cfRule>
    <cfRule type="cellIs" dxfId="21" priority="44" operator="lessThan">
      <formula>0</formula>
    </cfRule>
  </conditionalFormatting>
  <conditionalFormatting sqref="J188">
    <cfRule type="containsText" dxfId="20" priority="39" operator="containsText" text="NOTRADE">
      <formula>NOT(ISERROR(SEARCH("NOTRADE",J188)))</formula>
    </cfRule>
    <cfRule type="containsText" dxfId="19" priority="40" operator="containsText" text="PASS">
      <formula>NOT(ISERROR(SEARCH("PASS",J188)))</formula>
    </cfRule>
    <cfRule type="containsText" dxfId="18" priority="41" operator="containsText" text="FAILED">
      <formula>NOT(ISERROR(SEARCH("FAILED",J188)))</formula>
    </cfRule>
  </conditionalFormatting>
  <conditionalFormatting sqref="I221">
    <cfRule type="cellIs" dxfId="17" priority="30" operator="lessThan">
      <formula>0</formula>
    </cfRule>
    <cfRule type="cellIs" dxfId="16" priority="31" operator="greaterThan">
      <formula>0</formula>
    </cfRule>
    <cfRule type="cellIs" dxfId="15" priority="32" operator="lessThan">
      <formula>0</formula>
    </cfRule>
  </conditionalFormatting>
  <conditionalFormatting sqref="J221">
    <cfRule type="containsText" dxfId="14" priority="27" operator="containsText" text="NOTRADE">
      <formula>NOT(ISERROR(SEARCH("NOTRADE",J221)))</formula>
    </cfRule>
    <cfRule type="containsText" dxfId="13" priority="28" operator="containsText" text="PASS">
      <formula>NOT(ISERROR(SEARCH("PASS",J221)))</formula>
    </cfRule>
    <cfRule type="containsText" dxfId="12" priority="29" operator="containsText" text="FAILED">
      <formula>NOT(ISERROR(SEARCH("FAILED",J221)))</formula>
    </cfRule>
  </conditionalFormatting>
  <conditionalFormatting sqref="J305 I306:I319">
    <cfRule type="cellIs" dxfId="11" priority="11" operator="lessThan">
      <formula>0</formula>
    </cfRule>
    <cfRule type="cellIs" dxfId="10" priority="12" operator="greaterThan">
      <formula>0</formula>
    </cfRule>
    <cfRule type="cellIs" dxfId="9" priority="13" operator="lessThan">
      <formula>0</formula>
    </cfRule>
  </conditionalFormatting>
  <conditionalFormatting sqref="J306:J321">
    <cfRule type="containsText" dxfId="8" priority="8" operator="containsText" text="NOTRADE">
      <formula>NOT(ISERROR(SEARCH("NOTRADE",J306)))</formula>
    </cfRule>
    <cfRule type="containsText" dxfId="7" priority="9" operator="containsText" text="PASS">
      <formula>NOT(ISERROR(SEARCH("PASS",J306)))</formula>
    </cfRule>
    <cfRule type="containsText" dxfId="6" priority="10" operator="containsText" text="FAILED">
      <formula>NOT(ISERROR(SEARCH("FAILED",J306)))</formula>
    </cfRule>
  </conditionalFormatting>
  <conditionalFormatting sqref="S305:S322">
    <cfRule type="cellIs" dxfId="5" priority="5" operator="lessThan">
      <formula>0</formula>
    </cfRule>
    <cfRule type="cellIs" dxfId="4" priority="6" operator="greaterThan">
      <formula>0</formula>
    </cfRule>
    <cfRule type="cellIs" dxfId="3" priority="7" operator="lessThan">
      <formula>0</formula>
    </cfRule>
  </conditionalFormatting>
  <conditionalFormatting sqref="T305:T322">
    <cfRule type="containsText" dxfId="2" priority="2" operator="containsText" text="NOTRADE">
      <formula>NOT(ISERROR(SEARCH("NOTRADE",T305)))</formula>
    </cfRule>
    <cfRule type="containsText" dxfId="1" priority="3" operator="containsText" text="PASS">
      <formula>NOT(ISERROR(SEARCH("PASS",T305)))</formula>
    </cfRule>
    <cfRule type="containsText" dxfId="0" priority="4" operator="containsText" text="FAILED">
      <formula>NOT(ISERROR(SEARCH("FAILED",T305)))</formula>
    </cfRule>
  </conditionalFormatting>
  <conditionalFormatting sqref="T30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Z3184"/>
  <sheetViews>
    <sheetView topLeftCell="A3156" zoomScale="90" zoomScaleNormal="90" workbookViewId="0">
      <selection activeCell="B3189" sqref="B3189"/>
    </sheetView>
  </sheetViews>
  <sheetFormatPr defaultRowHeight="14.4" x14ac:dyDescent="0.3"/>
  <cols>
    <col min="1" max="1" width="4.6640625" customWidth="1"/>
    <col min="2" max="2" width="9.33203125" bestFit="1" customWidth="1"/>
    <col min="3" max="3" width="10.5546875" bestFit="1" customWidth="1"/>
    <col min="4" max="5" width="9.33203125" bestFit="1" customWidth="1"/>
    <col min="6" max="6" width="9.44140625" bestFit="1" customWidth="1"/>
    <col min="7" max="7" width="7.21875" bestFit="1" customWidth="1"/>
    <col min="8" max="14" width="9.33203125" bestFit="1" customWidth="1"/>
    <col min="15" max="15" width="8.88671875" bestFit="1" customWidth="1"/>
    <col min="16" max="16" width="9.33203125" bestFit="1" customWidth="1"/>
    <col min="17" max="17" width="10.5546875" bestFit="1" customWidth="1"/>
    <col min="18" max="18" width="9.33203125" bestFit="1" customWidth="1"/>
    <col min="19" max="19" width="13.88671875" bestFit="1" customWidth="1"/>
    <col min="20" max="20" width="10.5546875" bestFit="1" customWidth="1"/>
    <col min="21" max="22" width="8.88671875" bestFit="1" customWidth="1"/>
    <col min="23" max="25" width="7.21875" bestFit="1" customWidth="1"/>
    <col min="26" max="26" width="6.109375" bestFit="1" customWidth="1"/>
  </cols>
  <sheetData>
    <row r="3" spans="2:25" x14ac:dyDescent="0.3">
      <c r="R3" s="40"/>
      <c r="U3" s="49"/>
    </row>
    <row r="4" spans="2:25" x14ac:dyDescent="0.3">
      <c r="R4" s="40"/>
      <c r="U4" s="49"/>
    </row>
    <row r="5" spans="2:25" x14ac:dyDescent="0.3">
      <c r="R5" s="40"/>
      <c r="U5" s="49"/>
    </row>
    <row r="6" spans="2:25" x14ac:dyDescent="0.3">
      <c r="B6" s="40"/>
      <c r="C6" s="50">
        <f>B7+E7</f>
        <v>14017.6</v>
      </c>
      <c r="D6" s="51">
        <f>C6+E7</f>
        <v>14057.6</v>
      </c>
      <c r="E6" s="21"/>
      <c r="F6" s="21"/>
      <c r="H6" s="52" t="str">
        <f>IF((C15-D15)&gt;(C24-D24),"LONG",IF(C24&gt;D22,"LONG","SHORT"))</f>
        <v>LONG</v>
      </c>
      <c r="I6" s="124" t="s">
        <v>67</v>
      </c>
      <c r="J6" s="124"/>
      <c r="K6" s="124"/>
      <c r="L6" s="53">
        <f>AVERAGE(L7:L8)</f>
        <v>186.57499999999999</v>
      </c>
      <c r="Q6" s="54">
        <v>0.39166666666666666</v>
      </c>
      <c r="R6" s="54">
        <v>0.39861111111111108</v>
      </c>
      <c r="S6" s="54">
        <v>0.4055555555555555</v>
      </c>
      <c r="T6" s="54">
        <v>0.41250000000000003</v>
      </c>
      <c r="U6" s="55"/>
      <c r="W6" s="34" t="s">
        <v>68</v>
      </c>
      <c r="X6" s="56" t="s">
        <v>69</v>
      </c>
      <c r="Y6" s="57" t="s">
        <v>70</v>
      </c>
    </row>
    <row r="7" spans="2:25" x14ac:dyDescent="0.3">
      <c r="B7" s="50">
        <v>13977.6</v>
      </c>
      <c r="C7" s="40"/>
      <c r="D7" s="58"/>
      <c r="E7" s="59">
        <f>ROUND((((B7*F7%)/4)/10),0)*10</f>
        <v>40</v>
      </c>
      <c r="F7" s="51">
        <v>1.18</v>
      </c>
      <c r="H7" s="60" t="s">
        <v>69</v>
      </c>
      <c r="I7" s="61">
        <f>AVERAGE(C24,C13)</f>
        <v>161.97499999999999</v>
      </c>
      <c r="J7" s="61">
        <f>AVERAGE(C24,C14)</f>
        <v>147.02500000000001</v>
      </c>
      <c r="K7" s="61">
        <f>AVERAGE(C24,C15)</f>
        <v>133.4</v>
      </c>
      <c r="L7" s="61">
        <f>C13</f>
        <v>202.9</v>
      </c>
      <c r="Q7" s="51">
        <v>13978.25</v>
      </c>
      <c r="R7" s="51">
        <v>13973.5</v>
      </c>
      <c r="S7" s="51">
        <v>13977</v>
      </c>
      <c r="T7" s="51">
        <v>13978.15</v>
      </c>
      <c r="U7" s="62"/>
      <c r="W7" s="63">
        <v>0.41597222222222219</v>
      </c>
      <c r="X7" s="30">
        <v>145.75</v>
      </c>
      <c r="Y7" s="30">
        <v>121.05</v>
      </c>
    </row>
    <row r="8" spans="2:25" x14ac:dyDescent="0.3">
      <c r="B8" s="40"/>
      <c r="C8" s="50">
        <f>B7-E7</f>
        <v>13937.6</v>
      </c>
      <c r="D8" s="51">
        <f>C8-E7</f>
        <v>13897.6</v>
      </c>
      <c r="E8" s="21"/>
      <c r="F8" s="21"/>
      <c r="H8" s="60" t="s">
        <v>70</v>
      </c>
      <c r="I8" s="61">
        <f>AVERAGE(C15,C22)</f>
        <v>158</v>
      </c>
      <c r="J8" s="61">
        <f>AVERAGE(C15,C23)</f>
        <v>144.44999999999999</v>
      </c>
      <c r="K8" s="61">
        <f>AVERAGE(C15,C24)</f>
        <v>133.4</v>
      </c>
      <c r="L8" s="61">
        <f>C22</f>
        <v>170.25</v>
      </c>
      <c r="W8" s="63">
        <v>0.4368055555555555</v>
      </c>
      <c r="X8" s="30">
        <v>147.80000000000001</v>
      </c>
      <c r="Y8" s="30">
        <v>117.8</v>
      </c>
    </row>
    <row r="9" spans="2:25" x14ac:dyDescent="0.3">
      <c r="F9" s="40"/>
      <c r="G9" s="40"/>
      <c r="K9" s="40"/>
      <c r="Q9" s="40"/>
      <c r="S9" s="40"/>
      <c r="W9" s="63">
        <v>0.45763888888888887</v>
      </c>
      <c r="X9" s="30">
        <v>140.9</v>
      </c>
      <c r="Y9" s="30">
        <v>123.3</v>
      </c>
    </row>
    <row r="10" spans="2:25" x14ac:dyDescent="0.3">
      <c r="B10" s="40"/>
      <c r="Q10" s="40"/>
      <c r="W10" s="63">
        <v>0.47847222222222219</v>
      </c>
      <c r="X10" s="30">
        <v>143.35</v>
      </c>
      <c r="Y10" s="30">
        <v>119.1</v>
      </c>
    </row>
    <row r="11" spans="2:25" x14ac:dyDescent="0.3">
      <c r="C11" s="64">
        <v>44196</v>
      </c>
      <c r="F11" s="30">
        <f>AVERAGE(F13,F22)</f>
        <v>13989.525000000001</v>
      </c>
      <c r="G11" s="65"/>
      <c r="H11" s="66">
        <v>0.44097222222222227</v>
      </c>
      <c r="I11" s="66">
        <v>0.59652777777777777</v>
      </c>
      <c r="J11" s="66"/>
      <c r="K11" s="66"/>
      <c r="L11" s="67">
        <v>8.3333333333333329E-2</v>
      </c>
      <c r="M11" s="67">
        <v>0.13541666666666666</v>
      </c>
      <c r="N11" s="68"/>
      <c r="Q11" s="132" t="s">
        <v>71</v>
      </c>
      <c r="R11" s="132"/>
      <c r="S11" s="132" t="s">
        <v>37</v>
      </c>
      <c r="T11" s="132"/>
      <c r="U11" s="69"/>
      <c r="W11" s="63">
        <v>0.4993055555555555</v>
      </c>
      <c r="X11" s="30">
        <v>136.05000000000001</v>
      </c>
      <c r="Y11" s="30">
        <v>124.2</v>
      </c>
    </row>
    <row r="12" spans="2:25" x14ac:dyDescent="0.3">
      <c r="B12" s="34" t="s">
        <v>68</v>
      </c>
      <c r="C12" s="63">
        <v>0.41666666666666669</v>
      </c>
      <c r="D12" s="63">
        <v>0.38611111111111113</v>
      </c>
      <c r="H12" s="7">
        <v>13995.8</v>
      </c>
      <c r="I12" s="23">
        <v>161.9</v>
      </c>
      <c r="J12" s="7"/>
      <c r="K12" s="7"/>
      <c r="L12" s="7">
        <v>14006.7</v>
      </c>
      <c r="M12" s="7">
        <v>13985.4</v>
      </c>
      <c r="N12" s="70"/>
      <c r="Q12" s="61">
        <f>R12-(S12-R12)</f>
        <v>13370.900000000001</v>
      </c>
      <c r="R12" s="61">
        <v>13667.95</v>
      </c>
      <c r="S12" s="61">
        <v>13965</v>
      </c>
      <c r="T12" s="61">
        <f>S12+(S12-R12)</f>
        <v>14262.05</v>
      </c>
      <c r="U12" s="71"/>
      <c r="W12" s="63">
        <v>0.52013888888888882</v>
      </c>
      <c r="X12" s="30">
        <v>128.1</v>
      </c>
      <c r="Y12" s="30">
        <v>132.65</v>
      </c>
    </row>
    <row r="13" spans="2:25" x14ac:dyDescent="0.3">
      <c r="B13" s="26">
        <f>B14-50</f>
        <v>13900</v>
      </c>
      <c r="C13" s="30">
        <v>202.9</v>
      </c>
      <c r="D13" s="30">
        <v>194.85</v>
      </c>
      <c r="E13" s="40"/>
      <c r="F13" s="30">
        <f t="shared" ref="F13:F18" si="0">B13+D13</f>
        <v>14094.85</v>
      </c>
      <c r="H13" s="7">
        <v>212.6</v>
      </c>
      <c r="I13" s="7">
        <v>175</v>
      </c>
      <c r="J13" s="7"/>
      <c r="K13" s="7"/>
      <c r="L13" s="7">
        <v>196.65</v>
      </c>
      <c r="M13" s="7">
        <v>187.85</v>
      </c>
      <c r="N13" s="70"/>
      <c r="W13" s="63">
        <v>0.54097222222222219</v>
      </c>
      <c r="X13" s="30">
        <v>133.6</v>
      </c>
      <c r="Y13" s="30">
        <v>114.7</v>
      </c>
    </row>
    <row r="14" spans="2:25" x14ac:dyDescent="0.3">
      <c r="B14" s="26">
        <f>B15-50</f>
        <v>13950</v>
      </c>
      <c r="C14" s="30">
        <v>173</v>
      </c>
      <c r="D14" s="30">
        <v>164.4</v>
      </c>
      <c r="E14" s="40"/>
      <c r="F14" s="30">
        <f t="shared" si="0"/>
        <v>14114.4</v>
      </c>
      <c r="H14" s="7">
        <v>182</v>
      </c>
      <c r="I14" s="7">
        <v>146.94999999999999</v>
      </c>
      <c r="J14" s="7"/>
      <c r="K14" s="7"/>
      <c r="L14" s="7">
        <v>165</v>
      </c>
      <c r="M14" s="7">
        <v>157.69999999999999</v>
      </c>
      <c r="N14" s="70"/>
      <c r="W14" s="63">
        <v>6.1805555555555558E-2</v>
      </c>
      <c r="X14" s="30">
        <v>132.85</v>
      </c>
      <c r="Y14" s="30">
        <v>116.2</v>
      </c>
    </row>
    <row r="15" spans="2:25" x14ac:dyDescent="0.3">
      <c r="B15" s="26">
        <v>14000</v>
      </c>
      <c r="C15" s="30">
        <v>145.75</v>
      </c>
      <c r="D15" s="30">
        <v>140</v>
      </c>
      <c r="E15" s="40"/>
      <c r="F15" s="30">
        <f t="shared" si="0"/>
        <v>14140</v>
      </c>
      <c r="H15" s="7">
        <v>153.35</v>
      </c>
      <c r="I15" s="7">
        <v>120.65</v>
      </c>
      <c r="J15" s="7"/>
      <c r="K15" s="7"/>
      <c r="L15" s="7">
        <v>137.4</v>
      </c>
      <c r="M15" s="7">
        <v>129.19999999999999</v>
      </c>
      <c r="N15" s="70"/>
      <c r="W15" s="63">
        <v>8.2638888888888887E-2</v>
      </c>
      <c r="X15" s="30">
        <v>137.4</v>
      </c>
      <c r="Y15" s="30">
        <v>113</v>
      </c>
    </row>
    <row r="16" spans="2:25" x14ac:dyDescent="0.3">
      <c r="B16" s="26">
        <f>B15+50</f>
        <v>14050</v>
      </c>
      <c r="C16" s="30">
        <v>120.5</v>
      </c>
      <c r="D16" s="23">
        <v>116.15</v>
      </c>
      <c r="E16" s="40"/>
      <c r="F16" s="50">
        <f t="shared" si="0"/>
        <v>14166.15</v>
      </c>
      <c r="H16" s="7">
        <v>128.19999999999999</v>
      </c>
      <c r="I16" s="7">
        <v>98.4</v>
      </c>
      <c r="J16" s="7"/>
      <c r="K16" s="7"/>
      <c r="L16" s="7">
        <v>113</v>
      </c>
      <c r="M16" s="7">
        <v>104.25</v>
      </c>
      <c r="N16" s="70"/>
    </row>
    <row r="17" spans="2:26" x14ac:dyDescent="0.3">
      <c r="B17" s="72">
        <f>B16+50</f>
        <v>14100</v>
      </c>
      <c r="C17" s="30">
        <v>99.2</v>
      </c>
      <c r="D17" s="30">
        <v>95.6</v>
      </c>
      <c r="E17" s="40"/>
      <c r="F17" s="30">
        <f t="shared" si="0"/>
        <v>14195.6</v>
      </c>
      <c r="H17" s="7">
        <v>104.55</v>
      </c>
      <c r="I17" s="7">
        <v>79.099999999999994</v>
      </c>
      <c r="J17" s="7"/>
      <c r="K17" s="7"/>
      <c r="L17" s="7">
        <v>90.65</v>
      </c>
      <c r="M17" s="7">
        <v>82.4</v>
      </c>
      <c r="N17" s="70"/>
      <c r="Q17" s="133" t="s">
        <v>72</v>
      </c>
      <c r="R17" s="134"/>
      <c r="S17" s="135"/>
      <c r="W17" s="34" t="s">
        <v>68</v>
      </c>
      <c r="X17" s="56" t="s">
        <v>69</v>
      </c>
      <c r="Y17" s="57" t="s">
        <v>70</v>
      </c>
    </row>
    <row r="18" spans="2:26" x14ac:dyDescent="0.3">
      <c r="B18" s="26">
        <f>B17+50</f>
        <v>14150</v>
      </c>
      <c r="C18" s="61">
        <v>79.55</v>
      </c>
      <c r="D18" s="30">
        <v>76.599999999999994</v>
      </c>
      <c r="E18" s="40"/>
      <c r="F18" s="30">
        <f t="shared" si="0"/>
        <v>14226.6</v>
      </c>
      <c r="H18" s="7">
        <v>84.25</v>
      </c>
      <c r="I18" s="7">
        <v>61.8</v>
      </c>
      <c r="J18" s="7"/>
      <c r="K18" s="7"/>
      <c r="L18" s="7">
        <v>71.2</v>
      </c>
      <c r="M18" s="7">
        <v>63.5</v>
      </c>
      <c r="N18" s="70"/>
      <c r="Q18" s="30">
        <v>161.9</v>
      </c>
      <c r="R18" s="73">
        <v>75</v>
      </c>
      <c r="S18" s="30">
        <f>R18*Q18</f>
        <v>12142.5</v>
      </c>
      <c r="W18" s="63">
        <v>0.41597222222222219</v>
      </c>
      <c r="X18" s="30">
        <v>79.55</v>
      </c>
      <c r="Y18" s="30">
        <v>71.599999999999994</v>
      </c>
      <c r="Z18" s="40"/>
    </row>
    <row r="19" spans="2:26" x14ac:dyDescent="0.3">
      <c r="E19" s="40"/>
      <c r="H19" s="17"/>
      <c r="I19" s="17"/>
      <c r="J19" s="17"/>
      <c r="K19" s="17"/>
      <c r="L19" s="17"/>
      <c r="M19" s="17"/>
      <c r="N19" s="17"/>
      <c r="Q19" s="30">
        <v>158</v>
      </c>
      <c r="R19" s="73">
        <v>75</v>
      </c>
      <c r="S19" s="30">
        <f>R19*Q19</f>
        <v>11850</v>
      </c>
      <c r="W19" s="63">
        <v>0.4368055555555555</v>
      </c>
      <c r="X19" s="30">
        <v>80.8</v>
      </c>
      <c r="Y19" s="30">
        <v>68.75</v>
      </c>
      <c r="Z19" s="40"/>
    </row>
    <row r="20" spans="2:26" x14ac:dyDescent="0.3">
      <c r="C20" s="64">
        <v>43837</v>
      </c>
      <c r="E20" s="40">
        <f>F20-(G20-F20)</f>
        <v>74.300000000000026</v>
      </c>
      <c r="F20" s="40">
        <f>AVERAGE(C26,C17)</f>
        <v>92.800000000000011</v>
      </c>
      <c r="G20" s="40">
        <f>AVERAGE(C16,C25)</f>
        <v>111.3</v>
      </c>
      <c r="H20" s="66">
        <v>0.44097222222222227</v>
      </c>
      <c r="I20" s="66">
        <v>0.59652777777777777</v>
      </c>
      <c r="J20" s="66"/>
      <c r="K20" s="66"/>
      <c r="L20" s="67">
        <v>8.3333333333333329E-2</v>
      </c>
      <c r="M20" s="67">
        <v>0.13541666666666666</v>
      </c>
      <c r="N20" s="68"/>
      <c r="Q20" s="30"/>
      <c r="R20" s="73"/>
      <c r="S20" s="30">
        <f>R20*Q20</f>
        <v>0</v>
      </c>
      <c r="W20" s="63">
        <v>0.45763888888888887</v>
      </c>
      <c r="X20" s="30">
        <v>76.400000000000006</v>
      </c>
      <c r="Y20" s="30">
        <v>73.5</v>
      </c>
      <c r="Z20" s="40"/>
    </row>
    <row r="21" spans="2:26" x14ac:dyDescent="0.3">
      <c r="B21" s="34" t="s">
        <v>68</v>
      </c>
      <c r="C21" s="63">
        <v>0.41666666666666669</v>
      </c>
      <c r="D21" s="63">
        <v>0.39652777777777781</v>
      </c>
      <c r="E21" s="40"/>
      <c r="F21" s="40"/>
      <c r="H21" s="23">
        <v>158</v>
      </c>
      <c r="I21" s="7">
        <v>13980</v>
      </c>
      <c r="J21" s="7"/>
      <c r="K21" s="7"/>
      <c r="L21" s="7">
        <v>14006.7</v>
      </c>
      <c r="M21" s="7">
        <v>13985.4</v>
      </c>
      <c r="N21" s="70"/>
      <c r="Q21" s="30">
        <f>S21/R21</f>
        <v>159.94999999999999</v>
      </c>
      <c r="R21" s="73">
        <f>SUM(R18:R20)</f>
        <v>150</v>
      </c>
      <c r="S21" s="30">
        <f>SUM(S18:S20)</f>
        <v>23992.5</v>
      </c>
      <c r="W21" s="63">
        <v>0.47847222222222219</v>
      </c>
      <c r="X21" s="30">
        <v>78.25</v>
      </c>
      <c r="Y21" s="30">
        <v>70.150000000000006</v>
      </c>
      <c r="Z21" s="40"/>
    </row>
    <row r="22" spans="2:26" x14ac:dyDescent="0.3">
      <c r="B22" s="26">
        <f>B23+50</f>
        <v>14050</v>
      </c>
      <c r="C22" s="30">
        <v>170.25</v>
      </c>
      <c r="D22" s="30">
        <v>165.8</v>
      </c>
      <c r="E22" s="40"/>
      <c r="F22" s="30">
        <f t="shared" ref="F22:F27" si="1">B22-D22</f>
        <v>13884.2</v>
      </c>
      <c r="H22" s="7">
        <v>159.6</v>
      </c>
      <c r="I22" s="7">
        <v>178.3</v>
      </c>
      <c r="J22" s="7"/>
      <c r="K22" s="7"/>
      <c r="L22" s="7">
        <v>159.55000000000001</v>
      </c>
      <c r="M22" s="7">
        <v>156.9</v>
      </c>
      <c r="N22" s="70"/>
      <c r="P22" s="50">
        <f>S27</f>
        <v>2505</v>
      </c>
      <c r="Q22" s="57" t="s">
        <v>72</v>
      </c>
      <c r="S22" s="57" t="s">
        <v>73</v>
      </c>
      <c r="T22" s="23">
        <f>((X18+Y18)-(X27+Y27))</f>
        <v>15.249999999999972</v>
      </c>
      <c r="U22" s="23"/>
      <c r="V22" s="50">
        <f>T22*225</f>
        <v>3431.2499999999936</v>
      </c>
      <c r="W22" s="63">
        <v>0.4993055555555555</v>
      </c>
      <c r="X22" s="30">
        <v>73</v>
      </c>
      <c r="Y22" s="30">
        <v>72.849999999999994</v>
      </c>
      <c r="Z22" s="40"/>
    </row>
    <row r="23" spans="2:26" x14ac:dyDescent="0.3">
      <c r="B23" s="26">
        <f>B24+50</f>
        <v>14000</v>
      </c>
      <c r="C23" s="30">
        <v>143.15</v>
      </c>
      <c r="D23" s="30">
        <v>140.4</v>
      </c>
      <c r="E23" s="40"/>
      <c r="F23" s="30">
        <f t="shared" si="1"/>
        <v>13859.6</v>
      </c>
      <c r="H23" s="7">
        <v>134.80000000000001</v>
      </c>
      <c r="I23" s="7">
        <v>150</v>
      </c>
      <c r="J23" s="7"/>
      <c r="K23" s="7"/>
      <c r="L23" s="7">
        <v>134.5</v>
      </c>
      <c r="M23" s="7">
        <v>132.85</v>
      </c>
      <c r="N23" s="70"/>
      <c r="Q23" s="30">
        <v>175</v>
      </c>
      <c r="R23" s="73">
        <v>75</v>
      </c>
      <c r="S23" s="30">
        <f>R23*Q23</f>
        <v>13125</v>
      </c>
      <c r="W23" s="63">
        <v>0.52013888888888882</v>
      </c>
      <c r="X23" s="30">
        <v>68</v>
      </c>
      <c r="Y23" s="30">
        <v>78.400000000000006</v>
      </c>
      <c r="Z23" s="40"/>
    </row>
    <row r="24" spans="2:26" x14ac:dyDescent="0.3">
      <c r="B24" s="26">
        <v>13950</v>
      </c>
      <c r="C24" s="30">
        <v>121.05</v>
      </c>
      <c r="D24" s="7">
        <v>119.35</v>
      </c>
      <c r="E24" s="40"/>
      <c r="F24" s="30">
        <f t="shared" si="1"/>
        <v>13830.65</v>
      </c>
      <c r="H24" s="7">
        <v>114</v>
      </c>
      <c r="I24" s="7">
        <v>125.45</v>
      </c>
      <c r="J24" s="7"/>
      <c r="K24" s="7"/>
      <c r="L24" s="7">
        <v>113</v>
      </c>
      <c r="M24" s="7">
        <v>111.55</v>
      </c>
      <c r="N24" s="70"/>
      <c r="Q24" s="30">
        <v>178.3</v>
      </c>
      <c r="R24" s="73">
        <v>75</v>
      </c>
      <c r="S24" s="30">
        <f>R24*Q24</f>
        <v>13372.5</v>
      </c>
      <c r="T24" s="40"/>
      <c r="U24" s="40"/>
      <c r="V24" s="40"/>
      <c r="W24" s="63">
        <v>0.54097222222222219</v>
      </c>
      <c r="X24" s="30">
        <v>69.099999999999994</v>
      </c>
      <c r="Y24" s="30">
        <v>67</v>
      </c>
      <c r="Z24" s="40"/>
    </row>
    <row r="25" spans="2:26" x14ac:dyDescent="0.3">
      <c r="B25" s="26">
        <f>B24-50</f>
        <v>13900</v>
      </c>
      <c r="C25" s="30">
        <v>102.1</v>
      </c>
      <c r="D25" s="23">
        <v>100.35</v>
      </c>
      <c r="E25" s="40"/>
      <c r="F25" s="50">
        <f t="shared" si="1"/>
        <v>13799.65</v>
      </c>
      <c r="H25" s="7">
        <v>95.6</v>
      </c>
      <c r="I25" s="7">
        <v>104.75</v>
      </c>
      <c r="J25" s="7"/>
      <c r="K25" s="7"/>
      <c r="L25" s="7">
        <v>93.95</v>
      </c>
      <c r="M25" s="7">
        <v>92.25</v>
      </c>
      <c r="N25" s="70"/>
      <c r="Q25" s="30"/>
      <c r="R25" s="73"/>
      <c r="S25" s="30">
        <f>R25*Q25</f>
        <v>0</v>
      </c>
      <c r="T25" s="40"/>
      <c r="U25" s="40"/>
      <c r="V25" s="40"/>
      <c r="W25" s="63">
        <v>6.1805555555555558E-2</v>
      </c>
      <c r="X25" s="30">
        <v>69.25</v>
      </c>
      <c r="Y25" s="30">
        <v>67.599999999999994</v>
      </c>
    </row>
    <row r="26" spans="2:26" x14ac:dyDescent="0.3">
      <c r="B26" s="72">
        <f>B25-50</f>
        <v>13850</v>
      </c>
      <c r="C26" s="30">
        <v>86.4</v>
      </c>
      <c r="D26" s="7">
        <v>84.9</v>
      </c>
      <c r="E26" s="40"/>
      <c r="F26" s="30">
        <f t="shared" si="1"/>
        <v>13765.1</v>
      </c>
      <c r="H26" s="7">
        <v>80.2</v>
      </c>
      <c r="I26" s="7">
        <v>86.95</v>
      </c>
      <c r="J26" s="7"/>
      <c r="K26" s="7"/>
      <c r="L26" s="7">
        <v>78.25</v>
      </c>
      <c r="M26" s="7">
        <v>76.5</v>
      </c>
      <c r="N26" s="70"/>
      <c r="Q26" s="30">
        <f>S26/R26</f>
        <v>176.65</v>
      </c>
      <c r="R26" s="73">
        <f>SUM(R23:R25)</f>
        <v>150</v>
      </c>
      <c r="S26" s="30">
        <f>SUM(S23:S25)</f>
        <v>26497.5</v>
      </c>
      <c r="W26" s="63">
        <v>8.2638888888888887E-2</v>
      </c>
      <c r="X26" s="30">
        <v>71.2</v>
      </c>
      <c r="Y26" s="30">
        <v>64.7</v>
      </c>
    </row>
    <row r="27" spans="2:26" x14ac:dyDescent="0.3">
      <c r="B27" s="26">
        <f>B26-50</f>
        <v>13800</v>
      </c>
      <c r="C27" s="61">
        <v>71.599999999999994</v>
      </c>
      <c r="D27" s="30">
        <v>70.8</v>
      </c>
      <c r="E27" s="40"/>
      <c r="F27" s="30">
        <f t="shared" si="1"/>
        <v>13729.2</v>
      </c>
      <c r="H27" s="7">
        <v>66.7</v>
      </c>
      <c r="I27" s="7">
        <v>72.3</v>
      </c>
      <c r="J27" s="7"/>
      <c r="K27" s="7"/>
      <c r="L27" s="7">
        <v>64.7</v>
      </c>
      <c r="M27" s="7">
        <v>62.3</v>
      </c>
      <c r="N27" s="70"/>
      <c r="Q27" s="136" t="e">
        <f>S27/(R21-R26)</f>
        <v>#DIV/0!</v>
      </c>
      <c r="R27" s="137"/>
      <c r="S27" s="30">
        <f>S26-S21</f>
        <v>2505</v>
      </c>
      <c r="W27" s="67">
        <v>8.3333333333333329E-2</v>
      </c>
      <c r="X27" s="30">
        <v>71.2</v>
      </c>
      <c r="Y27" s="30">
        <v>64.7</v>
      </c>
    </row>
    <row r="28" spans="2:26" x14ac:dyDescent="0.3">
      <c r="K28" s="40"/>
      <c r="V28" s="40"/>
    </row>
    <row r="29" spans="2:26" x14ac:dyDescent="0.3">
      <c r="K29" s="40"/>
      <c r="V29" s="40"/>
    </row>
    <row r="30" spans="2:26" x14ac:dyDescent="0.3">
      <c r="K30" s="40"/>
      <c r="V30" s="40"/>
    </row>
    <row r="31" spans="2:26" x14ac:dyDescent="0.3">
      <c r="K31" s="40"/>
      <c r="V31" s="40"/>
    </row>
    <row r="32" spans="2:26" x14ac:dyDescent="0.3">
      <c r="K32" s="40"/>
      <c r="V32" s="40"/>
    </row>
    <row r="33" spans="2:25" x14ac:dyDescent="0.3">
      <c r="K33" s="40"/>
      <c r="V33" s="40"/>
    </row>
    <row r="34" spans="2:25" x14ac:dyDescent="0.3">
      <c r="C34" s="40"/>
      <c r="V34" s="40"/>
      <c r="X34" s="40"/>
    </row>
    <row r="35" spans="2:25" x14ac:dyDescent="0.3">
      <c r="C35" s="74"/>
      <c r="D35" s="40"/>
      <c r="I35" s="40"/>
      <c r="X35" s="40"/>
    </row>
    <row r="36" spans="2:25" x14ac:dyDescent="0.3">
      <c r="C36" s="74"/>
      <c r="D36" s="40"/>
      <c r="X36" s="40"/>
    </row>
    <row r="37" spans="2:25" x14ac:dyDescent="0.3">
      <c r="C37" s="40"/>
    </row>
    <row r="39" spans="2:25" x14ac:dyDescent="0.3">
      <c r="B39" s="40"/>
      <c r="C39" s="50">
        <f>B40+E40</f>
        <v>14087</v>
      </c>
      <c r="D39" s="51">
        <f>C39+E40</f>
        <v>14127</v>
      </c>
      <c r="E39" s="21"/>
      <c r="F39" s="21"/>
      <c r="H39" s="52" t="str">
        <f>IF((C48-D48)&gt;(C57-D57),"LONG",IF(C57&gt;D55,"LONG","SHORT"))</f>
        <v>LONG</v>
      </c>
      <c r="I39" s="124" t="s">
        <v>74</v>
      </c>
      <c r="J39" s="124"/>
      <c r="K39" s="124"/>
      <c r="L39" s="53">
        <f>AVERAGE(L40:L41)</f>
        <v>171.47499999999999</v>
      </c>
      <c r="Q39" s="54">
        <v>0.39166666666666666</v>
      </c>
      <c r="R39" s="54">
        <v>0.39861111111111108</v>
      </c>
      <c r="S39" s="54">
        <v>0.4055555555555555</v>
      </c>
      <c r="T39" s="54">
        <v>0.41250000000000003</v>
      </c>
      <c r="U39" s="55"/>
      <c r="W39" s="34" t="s">
        <v>68</v>
      </c>
      <c r="X39" s="56" t="s">
        <v>69</v>
      </c>
      <c r="Y39" s="57" t="s">
        <v>70</v>
      </c>
    </row>
    <row r="40" spans="2:25" x14ac:dyDescent="0.3">
      <c r="B40" s="50">
        <v>14047</v>
      </c>
      <c r="C40" s="40"/>
      <c r="D40" s="58"/>
      <c r="E40" s="59">
        <f>ROUND((((B40*F40%)/4)/10),0)*10</f>
        <v>40</v>
      </c>
      <c r="F40" s="51">
        <v>1.1499999999999999</v>
      </c>
      <c r="H40" s="52" t="s">
        <v>69</v>
      </c>
      <c r="I40" s="61">
        <f>AVERAGE(C57,C46)</f>
        <v>143.27500000000001</v>
      </c>
      <c r="J40" s="61">
        <f>AVERAGE(C57,C47)</f>
        <v>128.19999999999999</v>
      </c>
      <c r="K40" s="61">
        <f>AVERAGE(C57,C48)</f>
        <v>114.72499999999999</v>
      </c>
      <c r="L40" s="61">
        <f>C46</f>
        <v>160</v>
      </c>
      <c r="Q40" s="51">
        <v>14026.75</v>
      </c>
      <c r="R40" s="51">
        <v>14036.75</v>
      </c>
      <c r="S40" s="51">
        <v>14040.1</v>
      </c>
      <c r="T40" s="51">
        <v>14037</v>
      </c>
      <c r="U40" s="62"/>
      <c r="W40" s="63">
        <v>0.41597222222222219</v>
      </c>
      <c r="X40" s="30">
        <v>102.9</v>
      </c>
      <c r="Y40" s="30">
        <v>126.55</v>
      </c>
    </row>
    <row r="41" spans="2:25" x14ac:dyDescent="0.3">
      <c r="B41" s="40"/>
      <c r="C41" s="50">
        <f>B40-E40</f>
        <v>14007</v>
      </c>
      <c r="D41" s="51">
        <f>C41-E40</f>
        <v>13967</v>
      </c>
      <c r="E41" s="21"/>
      <c r="F41" s="21"/>
      <c r="H41" s="52" t="s">
        <v>70</v>
      </c>
      <c r="I41" s="61">
        <f>AVERAGE(C48,C55)</f>
        <v>142.92500000000001</v>
      </c>
      <c r="J41" s="61">
        <f>AVERAGE(C48,C56)</f>
        <v>127.85000000000001</v>
      </c>
      <c r="K41" s="61">
        <f>AVERAGE(C48,C57)</f>
        <v>114.72499999999999</v>
      </c>
      <c r="L41" s="61">
        <f>C55</f>
        <v>182.95</v>
      </c>
      <c r="W41" s="63">
        <v>0.4368055555555555</v>
      </c>
      <c r="X41" s="30">
        <v>103.5</v>
      </c>
      <c r="Y41" s="30">
        <v>125</v>
      </c>
    </row>
    <row r="42" spans="2:25" x14ac:dyDescent="0.3">
      <c r="F42" s="40"/>
      <c r="G42" s="40"/>
      <c r="K42" s="40"/>
      <c r="S42" s="40"/>
      <c r="W42" s="63">
        <v>0.45763888888888887</v>
      </c>
      <c r="X42" s="30">
        <v>101.15</v>
      </c>
      <c r="Y42" s="30">
        <v>124.85</v>
      </c>
    </row>
    <row r="43" spans="2:25" x14ac:dyDescent="0.3">
      <c r="B43" s="40"/>
      <c r="Q43" s="40"/>
      <c r="W43" s="63">
        <v>0.47847222222222219</v>
      </c>
      <c r="X43" s="30">
        <v>101.2</v>
      </c>
      <c r="Y43" s="30">
        <v>124</v>
      </c>
    </row>
    <row r="44" spans="2:25" x14ac:dyDescent="0.3">
      <c r="C44" s="64">
        <v>44197</v>
      </c>
      <c r="F44" s="30">
        <f>AVERAGE(F46,F55)</f>
        <v>14035.2</v>
      </c>
      <c r="G44" s="65"/>
      <c r="H44" s="66"/>
      <c r="I44" s="66"/>
      <c r="J44" s="66"/>
      <c r="K44" s="67"/>
      <c r="L44" s="67">
        <v>8.3333333333333329E-2</v>
      </c>
      <c r="M44" s="67">
        <v>0.125</v>
      </c>
      <c r="N44" s="75"/>
      <c r="Q44" s="132" t="s">
        <v>71</v>
      </c>
      <c r="R44" s="132"/>
      <c r="S44" s="132" t="s">
        <v>37</v>
      </c>
      <c r="T44" s="132"/>
      <c r="U44" s="69"/>
      <c r="W44" s="63">
        <v>0.4993055555555555</v>
      </c>
      <c r="X44" s="30">
        <v>96</v>
      </c>
      <c r="Y44" s="30">
        <v>130</v>
      </c>
    </row>
    <row r="45" spans="2:25" x14ac:dyDescent="0.3">
      <c r="B45" s="34" t="s">
        <v>68</v>
      </c>
      <c r="C45" s="63">
        <v>0.41666666666666669</v>
      </c>
      <c r="D45" s="63">
        <v>0.3923611111111111</v>
      </c>
      <c r="H45" s="7"/>
      <c r="I45" s="7"/>
      <c r="J45" s="7"/>
      <c r="K45" s="7"/>
      <c r="L45" s="7">
        <v>14056.05</v>
      </c>
      <c r="M45" s="7">
        <v>14053.85</v>
      </c>
      <c r="N45" s="70"/>
      <c r="Q45" s="61">
        <f>R45-(S45-R45)</f>
        <v>13679.1</v>
      </c>
      <c r="R45" s="61">
        <v>13848.35</v>
      </c>
      <c r="S45" s="61">
        <v>14017.6</v>
      </c>
      <c r="T45" s="61">
        <f>S45+(S45-R45)</f>
        <v>14186.85</v>
      </c>
      <c r="U45" s="71"/>
      <c r="W45" s="63">
        <v>0.52013888888888882</v>
      </c>
      <c r="X45" s="30">
        <v>99.75</v>
      </c>
      <c r="Y45" s="30">
        <v>118</v>
      </c>
    </row>
    <row r="46" spans="2:25" x14ac:dyDescent="0.3">
      <c r="B46" s="26">
        <f>B47-50</f>
        <v>13950</v>
      </c>
      <c r="C46" s="30">
        <v>160</v>
      </c>
      <c r="D46" s="30">
        <v>153.35</v>
      </c>
      <c r="E46" s="40"/>
      <c r="F46" s="30">
        <f t="shared" ref="F46:F51" si="2">B46+D46</f>
        <v>14103.35</v>
      </c>
      <c r="H46" s="7"/>
      <c r="I46" s="7"/>
      <c r="J46" s="7"/>
      <c r="K46" s="7"/>
      <c r="L46" s="7">
        <v>157.5</v>
      </c>
      <c r="M46" s="7">
        <v>153.35</v>
      </c>
      <c r="N46" s="70"/>
      <c r="W46" s="63">
        <v>0.54097222222222219</v>
      </c>
      <c r="X46" s="30">
        <v>99.5</v>
      </c>
      <c r="Y46" s="30">
        <v>117.1</v>
      </c>
    </row>
    <row r="47" spans="2:25" x14ac:dyDescent="0.3">
      <c r="B47" s="26">
        <f>B48-50</f>
        <v>14000</v>
      </c>
      <c r="C47" s="30">
        <v>129.85</v>
      </c>
      <c r="D47" s="30">
        <v>123.6</v>
      </c>
      <c r="E47" s="40"/>
      <c r="F47" s="30">
        <f t="shared" si="2"/>
        <v>14123.6</v>
      </c>
      <c r="H47" s="7"/>
      <c r="I47" s="7"/>
      <c r="J47" s="7"/>
      <c r="K47" s="7"/>
      <c r="L47" s="7">
        <v>125.9</v>
      </c>
      <c r="M47" s="7">
        <v>121.85</v>
      </c>
      <c r="N47" s="70"/>
      <c r="W47" s="63">
        <v>6.1805555555555558E-2</v>
      </c>
      <c r="X47" s="30">
        <v>98.4</v>
      </c>
      <c r="Y47" s="30">
        <v>114.6</v>
      </c>
    </row>
    <row r="48" spans="2:25" x14ac:dyDescent="0.3">
      <c r="B48" s="26">
        <v>14050</v>
      </c>
      <c r="C48" s="30">
        <v>102.9</v>
      </c>
      <c r="D48" s="30">
        <v>98.35</v>
      </c>
      <c r="E48" s="40"/>
      <c r="F48" s="30">
        <f t="shared" si="2"/>
        <v>14148.35</v>
      </c>
      <c r="H48" s="7"/>
      <c r="I48" s="7"/>
      <c r="J48" s="7"/>
      <c r="K48" s="7"/>
      <c r="L48" s="7">
        <v>98.2</v>
      </c>
      <c r="M48" s="7">
        <v>95</v>
      </c>
      <c r="N48" s="70"/>
      <c r="W48" s="63">
        <v>8.2638888888888887E-2</v>
      </c>
      <c r="X48" s="30">
        <v>98.2</v>
      </c>
      <c r="Y48" s="30">
        <v>113.2</v>
      </c>
    </row>
    <row r="49" spans="2:25" x14ac:dyDescent="0.3">
      <c r="B49" s="26">
        <f>B48+50</f>
        <v>14100</v>
      </c>
      <c r="C49" s="30">
        <v>79.5</v>
      </c>
      <c r="D49" s="23">
        <v>75.650000000000006</v>
      </c>
      <c r="E49" s="40"/>
      <c r="F49" s="50">
        <f t="shared" si="2"/>
        <v>14175.65</v>
      </c>
      <c r="H49" s="7"/>
      <c r="I49" s="7"/>
      <c r="J49" s="7"/>
      <c r="K49" s="7"/>
      <c r="L49" s="7">
        <v>73.400000000000006</v>
      </c>
      <c r="M49" s="7">
        <v>70.900000000000006</v>
      </c>
      <c r="N49" s="70"/>
    </row>
    <row r="50" spans="2:25" x14ac:dyDescent="0.3">
      <c r="B50" s="72">
        <f>B49+50</f>
        <v>14150</v>
      </c>
      <c r="C50" s="61">
        <v>59.35</v>
      </c>
      <c r="D50" s="30">
        <v>56.1</v>
      </c>
      <c r="E50" s="40"/>
      <c r="F50" s="30">
        <f t="shared" si="2"/>
        <v>14206.1</v>
      </c>
      <c r="H50" s="7"/>
      <c r="I50" s="7"/>
      <c r="J50" s="7"/>
      <c r="K50" s="7"/>
      <c r="L50" s="7">
        <v>52.8</v>
      </c>
      <c r="M50" s="7">
        <v>50.6</v>
      </c>
      <c r="N50" s="70"/>
      <c r="Q50" s="133" t="s">
        <v>72</v>
      </c>
      <c r="R50" s="134"/>
      <c r="S50" s="135"/>
      <c r="W50" s="34" t="s">
        <v>68</v>
      </c>
      <c r="X50" s="56" t="s">
        <v>69</v>
      </c>
      <c r="Y50" s="57" t="s">
        <v>70</v>
      </c>
    </row>
    <row r="51" spans="2:25" x14ac:dyDescent="0.3">
      <c r="B51" s="26">
        <f>B50+50</f>
        <v>14200</v>
      </c>
      <c r="C51" s="30">
        <v>43.4</v>
      </c>
      <c r="D51" s="30">
        <v>40.799999999999997</v>
      </c>
      <c r="E51" s="40"/>
      <c r="F51" s="30">
        <f t="shared" si="2"/>
        <v>14240.8</v>
      </c>
      <c r="H51" s="7"/>
      <c r="I51" s="7"/>
      <c r="J51" s="7"/>
      <c r="K51" s="7"/>
      <c r="L51" s="7">
        <v>36.700000000000003</v>
      </c>
      <c r="M51" s="7">
        <v>35.299999999999997</v>
      </c>
      <c r="N51" s="70"/>
      <c r="Q51" s="30"/>
      <c r="R51" s="73">
        <v>75</v>
      </c>
      <c r="S51" s="30">
        <f>R51*Q51</f>
        <v>0</v>
      </c>
      <c r="W51" s="63">
        <v>0.41597222222222219</v>
      </c>
      <c r="X51" s="30">
        <v>59.35</v>
      </c>
      <c r="Y51" s="30">
        <v>67.05</v>
      </c>
    </row>
    <row r="52" spans="2:25" x14ac:dyDescent="0.3">
      <c r="E52" s="40"/>
      <c r="H52" s="17"/>
      <c r="I52" s="17"/>
      <c r="J52" s="17"/>
      <c r="K52" s="76"/>
      <c r="L52" s="76"/>
      <c r="M52" s="17"/>
      <c r="N52" s="17"/>
      <c r="Q52" s="30"/>
      <c r="R52" s="73">
        <v>75</v>
      </c>
      <c r="S52" s="30">
        <f>R52*Q52</f>
        <v>0</v>
      </c>
      <c r="W52" s="63">
        <v>0.4368055555555555</v>
      </c>
      <c r="X52" s="30">
        <v>58.7</v>
      </c>
      <c r="Y52" s="30">
        <v>66.849999999999994</v>
      </c>
    </row>
    <row r="53" spans="2:25" x14ac:dyDescent="0.3">
      <c r="C53" s="64">
        <v>44203</v>
      </c>
      <c r="E53" s="40">
        <f>AVERAGE(C50,C60)</f>
        <v>63.2</v>
      </c>
      <c r="F53" s="40">
        <f>AVERAGE(C49,C59)</f>
        <v>81.575000000000003</v>
      </c>
      <c r="G53" s="40">
        <f>AVERAGE(C48,C58)</f>
        <v>103.02500000000001</v>
      </c>
      <c r="H53" s="66"/>
      <c r="I53" s="66"/>
      <c r="J53" s="66"/>
      <c r="K53" s="67"/>
      <c r="L53" s="67">
        <v>8.3333333333333329E-2</v>
      </c>
      <c r="M53" s="67">
        <v>0.125</v>
      </c>
      <c r="N53" s="75"/>
      <c r="Q53" s="30"/>
      <c r="R53" s="73"/>
      <c r="S53" s="30">
        <f>R53*Q53</f>
        <v>0</v>
      </c>
      <c r="W53" s="63">
        <v>0.45763888888888887</v>
      </c>
      <c r="X53" s="30">
        <v>56.3</v>
      </c>
      <c r="Y53" s="30">
        <v>67.45</v>
      </c>
    </row>
    <row r="54" spans="2:25" x14ac:dyDescent="0.3">
      <c r="B54" s="34" t="s">
        <v>68</v>
      </c>
      <c r="C54" s="63">
        <v>0.41666666666666669</v>
      </c>
      <c r="D54" s="63">
        <v>0.41597222222222219</v>
      </c>
      <c r="E54" s="40"/>
      <c r="F54" s="40"/>
      <c r="H54" s="7"/>
      <c r="I54" s="7"/>
      <c r="J54" s="7"/>
      <c r="K54" s="7"/>
      <c r="L54" s="7">
        <v>14056.05</v>
      </c>
      <c r="M54" s="7">
        <v>14053.85</v>
      </c>
      <c r="N54" s="70"/>
      <c r="Q54" s="30">
        <f>S54/R54</f>
        <v>0</v>
      </c>
      <c r="R54" s="73">
        <f>SUM(R51:R53)</f>
        <v>150</v>
      </c>
      <c r="S54" s="30">
        <f>SUM(S51:S53)</f>
        <v>0</v>
      </c>
      <c r="V54" s="40"/>
      <c r="W54" s="63">
        <v>0.47847222222222219</v>
      </c>
      <c r="X54" s="30">
        <v>56.35</v>
      </c>
      <c r="Y54" s="30">
        <v>66.150000000000006</v>
      </c>
    </row>
    <row r="55" spans="2:25" x14ac:dyDescent="0.3">
      <c r="B55" s="26">
        <f>B56+50</f>
        <v>14150</v>
      </c>
      <c r="C55" s="30">
        <v>182.95</v>
      </c>
      <c r="D55" s="30">
        <v>182.95</v>
      </c>
      <c r="E55" s="40"/>
      <c r="F55" s="30">
        <f t="shared" ref="F55:F60" si="3">B55-D55</f>
        <v>13967.05</v>
      </c>
      <c r="H55" s="7"/>
      <c r="I55" s="7"/>
      <c r="J55" s="7"/>
      <c r="K55" s="7"/>
      <c r="L55" s="7">
        <v>168.8</v>
      </c>
      <c r="M55" s="7">
        <v>170.6</v>
      </c>
      <c r="N55" s="70"/>
      <c r="P55" s="50">
        <f>S60</f>
        <v>0</v>
      </c>
      <c r="Q55" s="57" t="s">
        <v>72</v>
      </c>
      <c r="S55" s="57" t="s">
        <v>73</v>
      </c>
      <c r="T55" s="23">
        <f>((X51+Y51)-(X60+Y60))</f>
        <v>17</v>
      </c>
      <c r="U55" s="23"/>
      <c r="V55" s="50">
        <f>T55*225</f>
        <v>3825</v>
      </c>
      <c r="W55" s="63">
        <v>0.4993055555555555</v>
      </c>
      <c r="X55" s="30">
        <v>52.4</v>
      </c>
      <c r="Y55" s="30">
        <v>70.099999999999994</v>
      </c>
    </row>
    <row r="56" spans="2:25" x14ac:dyDescent="0.3">
      <c r="B56" s="26">
        <f>B57+50</f>
        <v>14100</v>
      </c>
      <c r="C56" s="30">
        <v>152.80000000000001</v>
      </c>
      <c r="D56" s="30">
        <v>152.80000000000001</v>
      </c>
      <c r="E56" s="40"/>
      <c r="F56" s="30">
        <f t="shared" si="3"/>
        <v>13947.2</v>
      </c>
      <c r="H56" s="7"/>
      <c r="I56" s="7"/>
      <c r="J56" s="7"/>
      <c r="K56" s="7"/>
      <c r="L56" s="7">
        <v>138.25</v>
      </c>
      <c r="M56" s="7">
        <v>140.4</v>
      </c>
      <c r="N56" s="70"/>
      <c r="Q56" s="30"/>
      <c r="R56" s="73">
        <v>75</v>
      </c>
      <c r="S56" s="30">
        <f>R56*Q56</f>
        <v>0</v>
      </c>
      <c r="W56" s="63">
        <v>0.52013888888888882</v>
      </c>
      <c r="X56" s="30">
        <v>54.4</v>
      </c>
      <c r="Y56" s="30">
        <v>62.3</v>
      </c>
    </row>
    <row r="57" spans="2:25" x14ac:dyDescent="0.3">
      <c r="B57" s="26">
        <v>14050</v>
      </c>
      <c r="C57" s="30">
        <v>126.55</v>
      </c>
      <c r="D57" s="30">
        <v>126.55</v>
      </c>
      <c r="E57" s="40"/>
      <c r="F57" s="30">
        <f t="shared" si="3"/>
        <v>13923.45</v>
      </c>
      <c r="H57" s="7"/>
      <c r="I57" s="7"/>
      <c r="J57" s="7"/>
      <c r="K57" s="7"/>
      <c r="L57" s="7">
        <v>113.2</v>
      </c>
      <c r="M57" s="7">
        <v>114.3</v>
      </c>
      <c r="N57" s="70"/>
      <c r="Q57" s="30"/>
      <c r="R57" s="73">
        <v>75</v>
      </c>
      <c r="S57" s="30">
        <f>R57*Q57</f>
        <v>0</v>
      </c>
      <c r="T57" s="40"/>
      <c r="U57" s="40"/>
      <c r="V57" s="40"/>
      <c r="W57" s="63">
        <v>0.54097222222222219</v>
      </c>
      <c r="X57" s="30">
        <v>54.2</v>
      </c>
      <c r="Y57" s="30">
        <v>60.95</v>
      </c>
    </row>
    <row r="58" spans="2:25" x14ac:dyDescent="0.3">
      <c r="B58" s="26">
        <f>B57-50</f>
        <v>14000</v>
      </c>
      <c r="C58" s="7">
        <v>103.15</v>
      </c>
      <c r="D58" s="23">
        <v>103.15</v>
      </c>
      <c r="E58" s="40"/>
      <c r="F58" s="50">
        <f t="shared" si="3"/>
        <v>13896.85</v>
      </c>
      <c r="H58" s="7"/>
      <c r="I58" s="7"/>
      <c r="J58" s="7"/>
      <c r="K58" s="7"/>
      <c r="L58" s="7">
        <v>90.65</v>
      </c>
      <c r="M58" s="7">
        <v>92.3</v>
      </c>
      <c r="N58" s="70"/>
      <c r="Q58" s="30"/>
      <c r="R58" s="73"/>
      <c r="S58" s="30">
        <f>R58*Q58</f>
        <v>0</v>
      </c>
      <c r="T58" s="40"/>
      <c r="U58" s="40"/>
      <c r="V58" s="40"/>
      <c r="W58" s="63">
        <v>6.1805555555555558E-2</v>
      </c>
      <c r="X58" s="30">
        <v>53.35</v>
      </c>
      <c r="Y58" s="30">
        <v>58.7</v>
      </c>
    </row>
    <row r="59" spans="2:25" x14ac:dyDescent="0.3">
      <c r="B59" s="72">
        <f>B58-50</f>
        <v>13950</v>
      </c>
      <c r="C59" s="7">
        <v>83.65</v>
      </c>
      <c r="D59" s="7">
        <v>83.65</v>
      </c>
      <c r="E59" s="40"/>
      <c r="F59" s="30">
        <f t="shared" si="3"/>
        <v>13866.35</v>
      </c>
      <c r="H59" s="7"/>
      <c r="I59" s="7"/>
      <c r="J59" s="7"/>
      <c r="K59" s="7"/>
      <c r="L59" s="7">
        <v>71.75</v>
      </c>
      <c r="M59" s="7">
        <v>73.150000000000006</v>
      </c>
      <c r="N59" s="70"/>
      <c r="Q59" s="30">
        <f>S59/R59</f>
        <v>0</v>
      </c>
      <c r="R59" s="73">
        <f>SUM(R56:R58)</f>
        <v>150</v>
      </c>
      <c r="S59" s="30">
        <f>SUM(S56:S58)</f>
        <v>0</v>
      </c>
      <c r="W59" s="63">
        <v>8.2638888888888887E-2</v>
      </c>
      <c r="X59" s="30">
        <v>52.8</v>
      </c>
      <c r="Y59" s="30">
        <v>56.6</v>
      </c>
    </row>
    <row r="60" spans="2:25" x14ac:dyDescent="0.3">
      <c r="B60" s="26">
        <f>B59-50</f>
        <v>13900</v>
      </c>
      <c r="C60" s="51">
        <v>67.05</v>
      </c>
      <c r="D60" s="7">
        <v>67.05</v>
      </c>
      <c r="E60" s="40"/>
      <c r="F60" s="30">
        <f t="shared" si="3"/>
        <v>13832.95</v>
      </c>
      <c r="H60" s="7"/>
      <c r="I60" s="7"/>
      <c r="J60" s="7"/>
      <c r="K60" s="7"/>
      <c r="L60" s="7">
        <v>56.6</v>
      </c>
      <c r="M60" s="7">
        <v>57.55</v>
      </c>
      <c r="N60" s="70"/>
      <c r="Q60" s="136" t="e">
        <f>S60/(R54-R59)</f>
        <v>#DIV/0!</v>
      </c>
      <c r="R60" s="137"/>
      <c r="S60" s="30">
        <f>S59-S54</f>
        <v>0</v>
      </c>
      <c r="W60" s="67">
        <v>8.3333333333333329E-2</v>
      </c>
      <c r="X60" s="30">
        <v>52.8</v>
      </c>
      <c r="Y60" s="30">
        <v>56.6</v>
      </c>
    </row>
    <row r="72" spans="2:25" x14ac:dyDescent="0.3">
      <c r="B72" s="40"/>
      <c r="C72" s="50">
        <f>B73+E73</f>
        <v>14173.7</v>
      </c>
      <c r="D72" s="51">
        <f>C72+E73</f>
        <v>14213.7</v>
      </c>
      <c r="E72" s="21"/>
      <c r="F72" s="21"/>
      <c r="H72" s="52" t="str">
        <f>IF((C81-D81)&gt;(C90-D90),"LONG",IF(C90&gt;D88,"LONG","SHORT"))</f>
        <v>SHORT</v>
      </c>
      <c r="I72" s="138" t="s">
        <v>75</v>
      </c>
      <c r="J72" s="139"/>
      <c r="K72" s="140"/>
      <c r="L72" s="53">
        <f>AVERAGE(L73:L74)</f>
        <v>127.175</v>
      </c>
      <c r="Q72" s="54">
        <v>0.39166666666666666</v>
      </c>
      <c r="R72" s="54">
        <v>0.39861111111111108</v>
      </c>
      <c r="S72" s="54">
        <v>0.4055555555555555</v>
      </c>
      <c r="T72" s="54">
        <v>0.41250000000000003</v>
      </c>
      <c r="U72" s="55"/>
      <c r="W72" s="34" t="s">
        <v>68</v>
      </c>
      <c r="X72" s="56" t="s">
        <v>69</v>
      </c>
      <c r="Y72" s="57" t="s">
        <v>70</v>
      </c>
    </row>
    <row r="73" spans="2:25" x14ac:dyDescent="0.3">
      <c r="B73" s="50">
        <v>14133.7</v>
      </c>
      <c r="C73" s="40"/>
      <c r="D73" s="58"/>
      <c r="E73" s="59">
        <f>ROUND((((B73*F73%)/4)/10),0)*10</f>
        <v>40</v>
      </c>
      <c r="F73" s="51">
        <v>1.1299999999999999</v>
      </c>
      <c r="H73" s="60" t="s">
        <v>69</v>
      </c>
      <c r="I73" s="51">
        <f>AVERAGE(C90,C79)</f>
        <v>100.5</v>
      </c>
      <c r="J73" s="51">
        <f>AVERAGE(C90,C80)</f>
        <v>85.425000000000011</v>
      </c>
      <c r="K73" s="51">
        <f>AVERAGE(C90,C81)</f>
        <v>72.400000000000006</v>
      </c>
      <c r="L73" s="61">
        <f>C79</f>
        <v>119.6</v>
      </c>
      <c r="Q73" s="51">
        <v>14123.1</v>
      </c>
      <c r="R73" s="51">
        <v>14133.95</v>
      </c>
      <c r="S73" s="51">
        <v>14132</v>
      </c>
      <c r="T73" s="51">
        <v>14134.5</v>
      </c>
      <c r="U73" s="62"/>
      <c r="W73" s="63">
        <v>0.41597222222222219</v>
      </c>
      <c r="X73" s="30">
        <v>63.4</v>
      </c>
      <c r="Y73" s="30">
        <v>81.400000000000006</v>
      </c>
    </row>
    <row r="74" spans="2:25" x14ac:dyDescent="0.3">
      <c r="B74" s="40"/>
      <c r="C74" s="50">
        <f>B73-E73</f>
        <v>14093.7</v>
      </c>
      <c r="D74" s="51">
        <f>C74-E73</f>
        <v>14053.7</v>
      </c>
      <c r="E74" s="21"/>
      <c r="F74" s="21"/>
      <c r="H74" s="60" t="s">
        <v>70</v>
      </c>
      <c r="I74" s="61">
        <f>AVERAGE(C81,C88)</f>
        <v>99.075000000000003</v>
      </c>
      <c r="J74" s="61">
        <f>AVERAGE(C81,C89)</f>
        <v>84.575000000000003</v>
      </c>
      <c r="K74" s="61">
        <f>AVERAGE(C81,C90)</f>
        <v>72.400000000000006</v>
      </c>
      <c r="L74" s="61">
        <f>C88</f>
        <v>134.75</v>
      </c>
      <c r="W74" s="63">
        <v>0.4368055555555555</v>
      </c>
      <c r="X74" s="30">
        <v>60.75</v>
      </c>
      <c r="Y74" s="30">
        <v>85.15</v>
      </c>
    </row>
    <row r="75" spans="2:25" x14ac:dyDescent="0.3">
      <c r="F75" s="40"/>
      <c r="G75" s="40"/>
      <c r="K75" s="40"/>
      <c r="Q75" s="40"/>
      <c r="W75" s="63">
        <v>0.45763888888888887</v>
      </c>
      <c r="X75" s="30">
        <v>51.1</v>
      </c>
      <c r="Y75" s="30">
        <v>119.3</v>
      </c>
    </row>
    <row r="76" spans="2:25" x14ac:dyDescent="0.3">
      <c r="B76" s="40"/>
      <c r="Q76" s="40"/>
      <c r="W76" s="63">
        <v>0.47847222222222219</v>
      </c>
      <c r="X76" s="30">
        <v>46</v>
      </c>
      <c r="Y76" s="30">
        <v>139.85</v>
      </c>
    </row>
    <row r="77" spans="2:25" x14ac:dyDescent="0.3">
      <c r="C77" s="64">
        <v>44200</v>
      </c>
      <c r="F77" s="30">
        <f>AVERAGE(F79,F88)</f>
        <v>14116.875</v>
      </c>
      <c r="G77" s="65"/>
      <c r="H77" s="66">
        <v>0.4513888888888889</v>
      </c>
      <c r="I77" s="66"/>
      <c r="J77" s="66">
        <v>0.45</v>
      </c>
      <c r="K77" s="66">
        <v>0.45833333333333331</v>
      </c>
      <c r="L77" s="67">
        <v>8.3333333333333329E-2</v>
      </c>
      <c r="M77" s="67">
        <v>0.13541666666666666</v>
      </c>
      <c r="N77" s="68"/>
      <c r="Q77" s="132" t="s">
        <v>71</v>
      </c>
      <c r="R77" s="132"/>
      <c r="S77" s="132" t="s">
        <v>37</v>
      </c>
      <c r="T77" s="132"/>
      <c r="U77" s="69"/>
      <c r="W77" s="63">
        <v>0.4993055555555555</v>
      </c>
      <c r="X77" s="30">
        <v>46</v>
      </c>
      <c r="Y77" s="30">
        <v>124.15</v>
      </c>
    </row>
    <row r="78" spans="2:25" x14ac:dyDescent="0.3">
      <c r="B78" s="34" t="s">
        <v>68</v>
      </c>
      <c r="C78" s="63">
        <v>0.41666666666666669</v>
      </c>
      <c r="D78" s="63">
        <v>0.38680555555555557</v>
      </c>
      <c r="H78" s="23">
        <v>100.5</v>
      </c>
      <c r="I78" s="7"/>
      <c r="J78" s="7">
        <v>14098</v>
      </c>
      <c r="K78" s="7">
        <v>14022.7</v>
      </c>
      <c r="L78" s="7">
        <v>14148.1</v>
      </c>
      <c r="M78" s="7">
        <v>14158.05</v>
      </c>
      <c r="N78" s="70"/>
      <c r="Q78" s="61">
        <f>R78-(S78-R78)</f>
        <v>13712.599999999999</v>
      </c>
      <c r="R78" s="61">
        <v>13879.8</v>
      </c>
      <c r="S78" s="61">
        <v>14047</v>
      </c>
      <c r="T78" s="61">
        <f>S78+(S78-R78)</f>
        <v>14214.2</v>
      </c>
      <c r="U78" s="71"/>
      <c r="W78" s="63">
        <v>0.52013888888888882</v>
      </c>
      <c r="X78" s="30">
        <v>50.3</v>
      </c>
      <c r="Y78" s="30">
        <v>109.55</v>
      </c>
    </row>
    <row r="79" spans="2:25" x14ac:dyDescent="0.3">
      <c r="B79" s="26">
        <f>B80-50</f>
        <v>14050</v>
      </c>
      <c r="C79" s="30">
        <v>119.6</v>
      </c>
      <c r="D79" s="30">
        <v>114.4</v>
      </c>
      <c r="E79" s="40"/>
      <c r="F79" s="30">
        <f t="shared" ref="F79:F84" si="4">B79+D79</f>
        <v>14164.4</v>
      </c>
      <c r="H79" s="7">
        <v>102.9</v>
      </c>
      <c r="I79" s="7"/>
      <c r="J79" s="7">
        <v>106.5</v>
      </c>
      <c r="K79" s="7">
        <v>82.2</v>
      </c>
      <c r="L79" s="7">
        <v>125.05</v>
      </c>
      <c r="M79" s="7">
        <v>130.69999999999999</v>
      </c>
      <c r="N79" s="70"/>
      <c r="Q79" s="40"/>
      <c r="W79" s="63">
        <v>0.54097222222222219</v>
      </c>
      <c r="X79" s="30">
        <v>55.9</v>
      </c>
      <c r="Y79" s="30">
        <v>91.55</v>
      </c>
    </row>
    <row r="80" spans="2:25" x14ac:dyDescent="0.3">
      <c r="B80" s="26">
        <f>B81-50</f>
        <v>14100</v>
      </c>
      <c r="C80" s="30">
        <v>89.45</v>
      </c>
      <c r="D80" s="30">
        <v>86.85</v>
      </c>
      <c r="E80" s="40"/>
      <c r="F80" s="30">
        <f t="shared" si="4"/>
        <v>14186.85</v>
      </c>
      <c r="H80" s="7">
        <v>75.05</v>
      </c>
      <c r="I80" s="7"/>
      <c r="J80" s="7">
        <v>78.55</v>
      </c>
      <c r="K80" s="7">
        <v>59.65</v>
      </c>
      <c r="L80" s="7">
        <v>92.8</v>
      </c>
      <c r="M80" s="7">
        <v>97.75</v>
      </c>
      <c r="N80" s="70"/>
      <c r="Q80" s="40"/>
      <c r="W80" s="63">
        <v>6.1805555555555558E-2</v>
      </c>
      <c r="X80" s="30">
        <v>57.95</v>
      </c>
      <c r="Y80" s="30">
        <v>84.95</v>
      </c>
    </row>
    <row r="81" spans="2:25" x14ac:dyDescent="0.3">
      <c r="B81" s="26">
        <v>14150</v>
      </c>
      <c r="C81" s="30">
        <v>63.4</v>
      </c>
      <c r="D81" s="30">
        <v>64.05</v>
      </c>
      <c r="E81" s="40"/>
      <c r="F81" s="30">
        <f t="shared" si="4"/>
        <v>14214.05</v>
      </c>
      <c r="H81" s="7">
        <v>51.75</v>
      </c>
      <c r="I81" s="7"/>
      <c r="J81" s="7">
        <v>55.05</v>
      </c>
      <c r="K81" s="7">
        <v>41</v>
      </c>
      <c r="L81" s="7">
        <v>65.650000000000006</v>
      </c>
      <c r="M81" s="7">
        <v>69.75</v>
      </c>
      <c r="N81" s="70"/>
      <c r="W81" s="63">
        <v>8.2638888888888887E-2</v>
      </c>
      <c r="X81" s="30">
        <v>65.650000000000006</v>
      </c>
      <c r="Y81" s="30">
        <v>75.75</v>
      </c>
    </row>
    <row r="82" spans="2:25" x14ac:dyDescent="0.3">
      <c r="B82" s="26">
        <f>B81+50</f>
        <v>14200</v>
      </c>
      <c r="C82" s="61">
        <v>42.65</v>
      </c>
      <c r="D82" s="23">
        <v>44.5</v>
      </c>
      <c r="E82" s="40"/>
      <c r="F82" s="50">
        <f t="shared" si="4"/>
        <v>14244.5</v>
      </c>
      <c r="H82" s="7">
        <v>33.75</v>
      </c>
      <c r="I82" s="7"/>
      <c r="J82" s="7">
        <v>36.4</v>
      </c>
      <c r="K82" s="7">
        <v>26.9</v>
      </c>
      <c r="L82" s="7">
        <v>43.8</v>
      </c>
      <c r="M82" s="7">
        <v>46.75</v>
      </c>
      <c r="N82" s="70"/>
    </row>
    <row r="83" spans="2:25" x14ac:dyDescent="0.3">
      <c r="B83" s="72">
        <f>B82+50</f>
        <v>14250</v>
      </c>
      <c r="C83" s="30">
        <v>27.25</v>
      </c>
      <c r="D83" s="30">
        <v>29.75</v>
      </c>
      <c r="E83" s="40"/>
      <c r="F83" s="30">
        <f t="shared" si="4"/>
        <v>14279.75</v>
      </c>
      <c r="H83" s="7">
        <v>21.05</v>
      </c>
      <c r="I83" s="7"/>
      <c r="J83" s="7">
        <v>22.8</v>
      </c>
      <c r="K83" s="7">
        <v>17.350000000000001</v>
      </c>
      <c r="L83" s="7">
        <v>27.55</v>
      </c>
      <c r="M83" s="7">
        <v>29.65</v>
      </c>
      <c r="N83" s="70"/>
      <c r="Q83" s="133" t="s">
        <v>72</v>
      </c>
      <c r="R83" s="134"/>
      <c r="S83" s="135"/>
      <c r="W83" s="34" t="s">
        <v>68</v>
      </c>
      <c r="X83" s="56" t="s">
        <v>69</v>
      </c>
      <c r="Y83" s="57" t="s">
        <v>70</v>
      </c>
    </row>
    <row r="84" spans="2:25" x14ac:dyDescent="0.3">
      <c r="B84" s="26">
        <f>B83+50</f>
        <v>14300</v>
      </c>
      <c r="C84" s="30">
        <v>16.8</v>
      </c>
      <c r="D84" s="30">
        <v>19.05</v>
      </c>
      <c r="E84" s="40"/>
      <c r="F84" s="30">
        <f t="shared" si="4"/>
        <v>14319.05</v>
      </c>
      <c r="H84" s="7">
        <v>12.9</v>
      </c>
      <c r="I84" s="7"/>
      <c r="J84" s="7">
        <v>14.05</v>
      </c>
      <c r="K84" s="7">
        <v>10.9</v>
      </c>
      <c r="L84" s="7">
        <v>16.55</v>
      </c>
      <c r="M84" s="7">
        <v>17.899999999999999</v>
      </c>
      <c r="N84" s="70"/>
      <c r="Q84" s="30">
        <v>100.5</v>
      </c>
      <c r="R84" s="73">
        <v>75</v>
      </c>
      <c r="S84" s="30">
        <f>R84*Q84</f>
        <v>7537.5</v>
      </c>
      <c r="W84" s="63">
        <v>0.41597222222222219</v>
      </c>
      <c r="X84" s="30">
        <v>42.65</v>
      </c>
      <c r="Y84" s="30">
        <v>45.9</v>
      </c>
    </row>
    <row r="85" spans="2:25" x14ac:dyDescent="0.3">
      <c r="E85" s="40"/>
      <c r="H85" s="17"/>
      <c r="I85" s="17"/>
      <c r="J85" s="17"/>
      <c r="K85" s="76"/>
      <c r="L85" s="17"/>
      <c r="M85" s="17"/>
      <c r="N85" s="17"/>
      <c r="Q85" s="30">
        <v>62.35</v>
      </c>
      <c r="R85" s="73">
        <v>75</v>
      </c>
      <c r="S85" s="30">
        <f>R85*Q85</f>
        <v>4676.25</v>
      </c>
      <c r="W85" s="63">
        <v>0.4368055555555555</v>
      </c>
      <c r="X85" s="30">
        <v>40.049999999999997</v>
      </c>
      <c r="Y85" s="30">
        <v>48.55</v>
      </c>
    </row>
    <row r="86" spans="2:25" x14ac:dyDescent="0.3">
      <c r="C86" s="64">
        <v>43837</v>
      </c>
      <c r="E86" s="40">
        <f>F86-(G86-F86)</f>
        <v>39.274999999999977</v>
      </c>
      <c r="F86" s="40">
        <f>AVERAGE(C91,C81)</f>
        <v>62.349999999999994</v>
      </c>
      <c r="G86" s="40">
        <f>AVERAGE(C80,C90)</f>
        <v>85.425000000000011</v>
      </c>
      <c r="H86" s="66">
        <v>0.4513888888888889</v>
      </c>
      <c r="I86" s="66"/>
      <c r="J86" s="66">
        <v>0.45</v>
      </c>
      <c r="K86" s="66">
        <v>0.45833333333333331</v>
      </c>
      <c r="L86" s="67">
        <v>8.3333333333333329E-2</v>
      </c>
      <c r="M86" s="67">
        <v>0.13541666666666666</v>
      </c>
      <c r="N86" s="68"/>
      <c r="Q86" s="30"/>
      <c r="R86" s="73"/>
      <c r="S86" s="30">
        <f>R86*Q86</f>
        <v>0</v>
      </c>
      <c r="W86" s="63">
        <v>0.45763888888888887</v>
      </c>
      <c r="X86" s="30">
        <v>33.65</v>
      </c>
      <c r="Y86" s="30">
        <v>76.8</v>
      </c>
    </row>
    <row r="87" spans="2:25" x14ac:dyDescent="0.3">
      <c r="B87" s="34" t="s">
        <v>68</v>
      </c>
      <c r="C87" s="63">
        <v>0.41666666666666669</v>
      </c>
      <c r="D87" s="63">
        <v>0.4069444444444445</v>
      </c>
      <c r="E87" s="40"/>
      <c r="F87" s="40"/>
      <c r="H87" s="7">
        <v>14090.6</v>
      </c>
      <c r="I87" s="7"/>
      <c r="J87" s="23">
        <v>62.35</v>
      </c>
      <c r="K87" s="23">
        <v>85.4</v>
      </c>
      <c r="L87" s="7">
        <v>14148.1</v>
      </c>
      <c r="M87" s="7">
        <v>14158.05</v>
      </c>
      <c r="N87" s="70"/>
      <c r="Q87" s="30"/>
      <c r="R87" s="73"/>
      <c r="S87" s="30">
        <f>SUM(S84:S86)</f>
        <v>12213.75</v>
      </c>
      <c r="V87" s="40"/>
      <c r="W87" s="63">
        <v>0.47847222222222219</v>
      </c>
      <c r="X87" s="30">
        <v>30.7</v>
      </c>
      <c r="Y87" s="30">
        <v>92.3</v>
      </c>
    </row>
    <row r="88" spans="2:25" x14ac:dyDescent="0.3">
      <c r="B88" s="26">
        <f>B89+50</f>
        <v>14200</v>
      </c>
      <c r="C88" s="30">
        <v>134.75</v>
      </c>
      <c r="D88" s="30">
        <v>130.65</v>
      </c>
      <c r="E88" s="40"/>
      <c r="F88" s="30">
        <f t="shared" ref="F88:F93" si="5">B88-D88</f>
        <v>14069.35</v>
      </c>
      <c r="H88" s="7">
        <v>163.55000000000001</v>
      </c>
      <c r="I88" s="7"/>
      <c r="J88" s="7">
        <v>158.55000000000001</v>
      </c>
      <c r="K88" s="7">
        <v>223.6</v>
      </c>
      <c r="L88" s="7">
        <v>126.7</v>
      </c>
      <c r="M88" s="7">
        <v>120.85</v>
      </c>
      <c r="N88" s="70"/>
      <c r="P88" s="50">
        <f>S93</f>
        <v>3993.75</v>
      </c>
      <c r="Q88" s="57" t="s">
        <v>72</v>
      </c>
      <c r="S88" s="57" t="s">
        <v>73</v>
      </c>
      <c r="T88" s="23">
        <f>((X84+Y84)-(X93+Y93))</f>
        <v>-0.70000000000000284</v>
      </c>
      <c r="U88" s="23"/>
      <c r="V88" s="50">
        <f>T88*225</f>
        <v>-157.50000000000063</v>
      </c>
      <c r="W88" s="63">
        <v>0.4993055555555555</v>
      </c>
      <c r="X88" s="30">
        <v>30.3</v>
      </c>
      <c r="Y88" s="30">
        <v>78.55</v>
      </c>
    </row>
    <row r="89" spans="2:25" x14ac:dyDescent="0.3">
      <c r="B89" s="26">
        <f>B90+50</f>
        <v>14150</v>
      </c>
      <c r="C89" s="30">
        <v>105.75</v>
      </c>
      <c r="D89" s="30">
        <v>101.95</v>
      </c>
      <c r="E89" s="40"/>
      <c r="F89" s="30">
        <f t="shared" si="5"/>
        <v>14048.05</v>
      </c>
      <c r="H89" s="7">
        <v>131.15</v>
      </c>
      <c r="I89" s="7"/>
      <c r="J89" s="7">
        <v>127.75</v>
      </c>
      <c r="K89" s="7">
        <v>188.25</v>
      </c>
      <c r="L89" s="7">
        <v>98.35</v>
      </c>
      <c r="M89" s="7">
        <v>93.65</v>
      </c>
      <c r="N89" s="70"/>
      <c r="Q89" s="30">
        <v>130.69999999999999</v>
      </c>
      <c r="R89" s="73">
        <v>75</v>
      </c>
      <c r="S89" s="30">
        <f>R89*Q89</f>
        <v>9802.5</v>
      </c>
      <c r="W89" s="63">
        <v>0.52013888888888882</v>
      </c>
      <c r="X89" s="30">
        <v>33</v>
      </c>
      <c r="Y89" s="30">
        <v>68</v>
      </c>
    </row>
    <row r="90" spans="2:25" x14ac:dyDescent="0.3">
      <c r="B90" s="26">
        <v>14100</v>
      </c>
      <c r="C90" s="30">
        <v>81.400000000000006</v>
      </c>
      <c r="D90" s="7">
        <v>78.150000000000006</v>
      </c>
      <c r="E90" s="40"/>
      <c r="F90" s="30">
        <f t="shared" si="5"/>
        <v>14021.85</v>
      </c>
      <c r="H90" s="7">
        <v>104.45</v>
      </c>
      <c r="I90" s="7"/>
      <c r="J90" s="7">
        <v>100.6</v>
      </c>
      <c r="K90" s="7">
        <v>155.25</v>
      </c>
      <c r="L90" s="7">
        <v>75.75</v>
      </c>
      <c r="M90" s="7">
        <v>71.849999999999994</v>
      </c>
      <c r="N90" s="70"/>
      <c r="Q90" s="30">
        <v>85.4</v>
      </c>
      <c r="R90" s="73">
        <v>75</v>
      </c>
      <c r="S90" s="30">
        <f>R90*Q90</f>
        <v>6405</v>
      </c>
      <c r="T90" s="40"/>
      <c r="U90" s="40"/>
      <c r="V90" s="40"/>
      <c r="W90" s="63">
        <v>0.54097222222222219</v>
      </c>
      <c r="X90" s="30">
        <v>36.75</v>
      </c>
      <c r="Y90" s="30">
        <v>53.75</v>
      </c>
    </row>
    <row r="91" spans="2:25" x14ac:dyDescent="0.3">
      <c r="B91" s="26">
        <f>B90-50</f>
        <v>14050</v>
      </c>
      <c r="C91" s="30">
        <v>61.3</v>
      </c>
      <c r="D91" s="23">
        <v>58.75</v>
      </c>
      <c r="E91" s="40"/>
      <c r="F91" s="50">
        <f t="shared" si="5"/>
        <v>13991.25</v>
      </c>
      <c r="H91" s="7">
        <v>82</v>
      </c>
      <c r="I91" s="7"/>
      <c r="J91" s="7">
        <v>79.05</v>
      </c>
      <c r="K91" s="7">
        <v>132.9</v>
      </c>
      <c r="L91" s="7">
        <v>57.8</v>
      </c>
      <c r="M91" s="7">
        <v>54.7</v>
      </c>
      <c r="N91" s="70"/>
      <c r="Q91" s="30"/>
      <c r="R91" s="73"/>
      <c r="S91" s="30">
        <f>R91*Q91</f>
        <v>0</v>
      </c>
      <c r="T91" s="40"/>
      <c r="U91" s="40"/>
      <c r="V91" s="40"/>
      <c r="W91" s="63">
        <v>6.1805555555555558E-2</v>
      </c>
      <c r="X91" s="30">
        <v>38.299999999999997</v>
      </c>
      <c r="Y91" s="30">
        <v>49.15</v>
      </c>
    </row>
    <row r="92" spans="2:25" x14ac:dyDescent="0.3">
      <c r="B92" s="72">
        <f>B91-50</f>
        <v>14000</v>
      </c>
      <c r="C92" s="61">
        <v>45.9</v>
      </c>
      <c r="D92" s="7">
        <v>44.3</v>
      </c>
      <c r="E92" s="40"/>
      <c r="F92" s="30">
        <f t="shared" si="5"/>
        <v>13955.7</v>
      </c>
      <c r="H92" s="7">
        <v>64.25</v>
      </c>
      <c r="I92" s="7"/>
      <c r="J92" s="7">
        <v>60.8</v>
      </c>
      <c r="K92" s="7">
        <v>106.1</v>
      </c>
      <c r="L92" s="7">
        <v>43.7</v>
      </c>
      <c r="M92" s="7">
        <v>41.85</v>
      </c>
      <c r="N92" s="70"/>
      <c r="Q92" s="30">
        <f>S92/R92</f>
        <v>108.05</v>
      </c>
      <c r="R92" s="73">
        <f>SUM(R89:R91)</f>
        <v>150</v>
      </c>
      <c r="S92" s="30">
        <f>SUM(S89:S91)</f>
        <v>16207.5</v>
      </c>
      <c r="W92" s="63">
        <v>8.2638888888888887E-2</v>
      </c>
      <c r="X92" s="30">
        <v>43.8</v>
      </c>
      <c r="Y92" s="30">
        <v>43.7</v>
      </c>
    </row>
    <row r="93" spans="2:25" x14ac:dyDescent="0.3">
      <c r="B93" s="26">
        <f>B92-50</f>
        <v>13950</v>
      </c>
      <c r="C93" s="30">
        <v>34.299999999999997</v>
      </c>
      <c r="D93" s="30">
        <v>33.35</v>
      </c>
      <c r="E93" s="40"/>
      <c r="F93" s="30">
        <f t="shared" si="5"/>
        <v>13916.65</v>
      </c>
      <c r="H93" s="7">
        <v>50</v>
      </c>
      <c r="I93" s="7"/>
      <c r="J93" s="7">
        <v>46.95</v>
      </c>
      <c r="K93" s="7">
        <v>84.5</v>
      </c>
      <c r="L93" s="7">
        <v>33.35</v>
      </c>
      <c r="M93" s="7">
        <v>32.200000000000003</v>
      </c>
      <c r="N93" s="70"/>
      <c r="Q93" s="136">
        <f>S93/(R87-R92)</f>
        <v>-26.625</v>
      </c>
      <c r="R93" s="137"/>
      <c r="S93" s="30">
        <f>S92-S87</f>
        <v>3993.75</v>
      </c>
      <c r="W93" s="63">
        <v>0.45</v>
      </c>
      <c r="X93" s="30">
        <v>26.9</v>
      </c>
      <c r="Y93" s="23">
        <v>62.35</v>
      </c>
    </row>
    <row r="100" spans="2:25" x14ac:dyDescent="0.3">
      <c r="H100" s="40"/>
      <c r="J100" s="40"/>
      <c r="K100" s="40"/>
      <c r="L100" s="40"/>
    </row>
    <row r="101" spans="2:25" x14ac:dyDescent="0.3">
      <c r="I101" s="40"/>
    </row>
    <row r="105" spans="2:25" x14ac:dyDescent="0.3">
      <c r="B105" s="40"/>
      <c r="C105" s="50">
        <f>B106+E106</f>
        <v>14146.95</v>
      </c>
      <c r="D105" s="51">
        <f>C105+E106</f>
        <v>14186.95</v>
      </c>
      <c r="E105" s="21"/>
      <c r="F105" s="21"/>
      <c r="H105" s="52" t="str">
        <f>IF((C114-D114)&gt;(C123-D123),"LONG",IF(C123&gt;D121,"LONG","SHORT"))</f>
        <v>SHORT</v>
      </c>
      <c r="I105" s="138" t="s">
        <v>76</v>
      </c>
      <c r="J105" s="139"/>
      <c r="K105" s="140"/>
      <c r="L105" s="53">
        <f>AVERAGE(L106:L107)</f>
        <v>144.35000000000002</v>
      </c>
      <c r="Q105" s="54">
        <v>0.39166666666666666</v>
      </c>
      <c r="R105" s="54">
        <v>0.39861111111111108</v>
      </c>
      <c r="S105" s="54">
        <v>0.4055555555555555</v>
      </c>
      <c r="T105" s="54">
        <v>0.41250000000000003</v>
      </c>
      <c r="U105" s="55"/>
      <c r="W105" s="34" t="s">
        <v>68</v>
      </c>
      <c r="X105" s="56" t="s">
        <v>69</v>
      </c>
      <c r="Y105" s="57" t="s">
        <v>70</v>
      </c>
    </row>
    <row r="106" spans="2:25" x14ac:dyDescent="0.3">
      <c r="B106" s="50">
        <v>14106.95</v>
      </c>
      <c r="C106" s="40"/>
      <c r="D106" s="58"/>
      <c r="E106" s="59">
        <f>ROUND((((B106*F106%)/4)/10),0)*10</f>
        <v>40</v>
      </c>
      <c r="F106" s="51">
        <v>1.1499999999999999</v>
      </c>
      <c r="H106" s="60" t="s">
        <v>69</v>
      </c>
      <c r="I106" s="61">
        <f>AVERAGE(C123,C112)</f>
        <v>116.02500000000001</v>
      </c>
      <c r="J106" s="61">
        <f>AVERAGE(C123,C113)</f>
        <v>99.075000000000003</v>
      </c>
      <c r="K106" s="61">
        <f>AVERAGE(C123,C114)</f>
        <v>84.474999999999994</v>
      </c>
      <c r="L106" s="61">
        <f>C112</f>
        <v>137.9</v>
      </c>
      <c r="Q106" s="51">
        <v>14132.3</v>
      </c>
      <c r="R106" s="51">
        <v>14116.55</v>
      </c>
      <c r="S106" s="51">
        <v>14111.1</v>
      </c>
      <c r="T106" s="51">
        <v>14118.65</v>
      </c>
      <c r="U106" s="62"/>
      <c r="W106" s="63">
        <v>0.41597222222222219</v>
      </c>
      <c r="X106" s="30">
        <v>74.8</v>
      </c>
      <c r="Y106" s="30">
        <v>94.15</v>
      </c>
    </row>
    <row r="107" spans="2:25" x14ac:dyDescent="0.3">
      <c r="B107" s="40"/>
      <c r="C107" s="50">
        <f>B106-E106</f>
        <v>14066.95</v>
      </c>
      <c r="D107" s="51">
        <f>C107-E106</f>
        <v>14026.95</v>
      </c>
      <c r="E107" s="21"/>
      <c r="F107" s="21"/>
      <c r="H107" s="60" t="s">
        <v>70</v>
      </c>
      <c r="I107" s="61">
        <f>AVERAGE(C114,C121)</f>
        <v>112.80000000000001</v>
      </c>
      <c r="J107" s="61">
        <f>AVERAGE(C114,C122)</f>
        <v>97.424999999999997</v>
      </c>
      <c r="K107" s="61">
        <f>AVERAGE(C114,C123)</f>
        <v>84.474999999999994</v>
      </c>
      <c r="L107" s="61">
        <f>C121</f>
        <v>150.80000000000001</v>
      </c>
      <c r="M107" s="40"/>
      <c r="W107" s="63">
        <v>0.4368055555555555</v>
      </c>
      <c r="X107" s="30">
        <v>70.599999999999994</v>
      </c>
      <c r="Y107" s="30">
        <v>97.1</v>
      </c>
    </row>
    <row r="108" spans="2:25" x14ac:dyDescent="0.3">
      <c r="F108" s="40"/>
      <c r="G108" s="40"/>
      <c r="H108" s="40"/>
      <c r="K108" s="40"/>
      <c r="W108" s="63">
        <v>0.45763888888888887</v>
      </c>
      <c r="X108" s="30">
        <v>79.55</v>
      </c>
      <c r="Y108" s="30">
        <v>81.599999999999994</v>
      </c>
    </row>
    <row r="109" spans="2:25" x14ac:dyDescent="0.3">
      <c r="B109" s="40"/>
      <c r="K109" s="40"/>
      <c r="W109" s="63">
        <v>0.47847222222222219</v>
      </c>
      <c r="X109" s="30">
        <v>92.25</v>
      </c>
      <c r="Y109" s="30">
        <v>71</v>
      </c>
    </row>
    <row r="110" spans="2:25" x14ac:dyDescent="0.3">
      <c r="C110" s="64">
        <v>44201</v>
      </c>
      <c r="F110" s="30">
        <f>AVERAGE(F112,F121)</f>
        <v>14097.775000000001</v>
      </c>
      <c r="G110" s="65"/>
      <c r="H110" s="66">
        <v>0.47916666666666669</v>
      </c>
      <c r="I110" s="66"/>
      <c r="J110" s="66">
        <v>0.52222222222222225</v>
      </c>
      <c r="K110" s="66">
        <v>5.5555555555555552E-2</v>
      </c>
      <c r="L110" s="67">
        <v>8.3333333333333329E-2</v>
      </c>
      <c r="M110" s="67">
        <v>0.13541666666666666</v>
      </c>
      <c r="Q110" s="132" t="s">
        <v>71</v>
      </c>
      <c r="R110" s="132"/>
      <c r="S110" s="132" t="s">
        <v>37</v>
      </c>
      <c r="T110" s="132"/>
      <c r="U110" s="69"/>
      <c r="W110" s="63">
        <v>0.4993055555555555</v>
      </c>
      <c r="X110" s="30">
        <v>94</v>
      </c>
      <c r="Y110" s="30">
        <v>72.099999999999994</v>
      </c>
    </row>
    <row r="111" spans="2:25" x14ac:dyDescent="0.3">
      <c r="B111" s="34" t="s">
        <v>68</v>
      </c>
      <c r="C111" s="63">
        <v>0.41666666666666669</v>
      </c>
      <c r="D111" s="63">
        <v>0.40416666666666662</v>
      </c>
      <c r="H111" s="7">
        <v>14158.3</v>
      </c>
      <c r="I111" s="7"/>
      <c r="J111" s="23">
        <v>73.8</v>
      </c>
      <c r="K111" s="7">
        <v>14148.45</v>
      </c>
      <c r="L111" s="7">
        <v>14180</v>
      </c>
      <c r="M111" s="7">
        <v>14225.7</v>
      </c>
      <c r="Q111" s="61">
        <f>R111-(S111-R111)</f>
        <v>13596.3</v>
      </c>
      <c r="R111" s="61">
        <v>13885</v>
      </c>
      <c r="S111" s="61">
        <v>14173.7</v>
      </c>
      <c r="T111" s="61">
        <f>S111+(S111-R111)</f>
        <v>14462.400000000001</v>
      </c>
      <c r="U111" s="71"/>
      <c r="W111" s="63">
        <v>0.52013888888888882</v>
      </c>
      <c r="X111" s="30">
        <v>97.5</v>
      </c>
      <c r="Y111" s="30">
        <v>70.400000000000006</v>
      </c>
    </row>
    <row r="112" spans="2:25" x14ac:dyDescent="0.3">
      <c r="B112" s="26">
        <f>B113-50</f>
        <v>14000</v>
      </c>
      <c r="C112" s="30">
        <v>137.9</v>
      </c>
      <c r="D112" s="30">
        <v>133.1</v>
      </c>
      <c r="E112" s="40"/>
      <c r="F112" s="30">
        <f t="shared" ref="F112:F117" si="6">B112+D112</f>
        <v>14133.1</v>
      </c>
      <c r="H112" s="7">
        <v>167</v>
      </c>
      <c r="I112" s="7"/>
      <c r="J112" s="7">
        <v>180</v>
      </c>
      <c r="K112" s="7">
        <v>163.75</v>
      </c>
      <c r="L112" s="7">
        <v>183</v>
      </c>
      <c r="M112" s="7">
        <v>225.25</v>
      </c>
      <c r="W112" s="63">
        <v>0.54097222222222219</v>
      </c>
      <c r="X112" s="30">
        <v>106.5</v>
      </c>
      <c r="Y112" s="30">
        <v>63.25</v>
      </c>
    </row>
    <row r="113" spans="2:25" x14ac:dyDescent="0.3">
      <c r="B113" s="26">
        <f>B114-50</f>
        <v>14050</v>
      </c>
      <c r="C113" s="30">
        <v>104</v>
      </c>
      <c r="D113" s="30">
        <v>100.75</v>
      </c>
      <c r="E113" s="40"/>
      <c r="F113" s="30">
        <f t="shared" si="6"/>
        <v>14150.75</v>
      </c>
      <c r="H113" s="7">
        <v>129.65</v>
      </c>
      <c r="I113" s="7"/>
      <c r="J113" s="7">
        <v>140.19999999999999</v>
      </c>
      <c r="K113" s="7">
        <v>126.1</v>
      </c>
      <c r="L113" s="7">
        <v>143.05000000000001</v>
      </c>
      <c r="M113" s="7">
        <v>183.65</v>
      </c>
      <c r="W113" s="63">
        <v>6.1805555555555558E-2</v>
      </c>
      <c r="X113" s="30">
        <v>86.35</v>
      </c>
      <c r="Y113" s="30">
        <v>77.95</v>
      </c>
    </row>
    <row r="114" spans="2:25" x14ac:dyDescent="0.3">
      <c r="B114" s="26">
        <v>14100</v>
      </c>
      <c r="C114" s="30">
        <v>74.8</v>
      </c>
      <c r="D114" s="30">
        <v>72.599999999999994</v>
      </c>
      <c r="E114" s="40"/>
      <c r="F114" s="30">
        <f t="shared" si="6"/>
        <v>14172.6</v>
      </c>
      <c r="H114" s="7">
        <v>96.7</v>
      </c>
      <c r="I114" s="7"/>
      <c r="J114" s="7">
        <v>105.85</v>
      </c>
      <c r="K114" s="7">
        <v>93.7</v>
      </c>
      <c r="L114" s="7">
        <v>107.55</v>
      </c>
      <c r="M114" s="7">
        <v>144.05000000000001</v>
      </c>
      <c r="W114" s="63">
        <v>8.2638888888888887E-2</v>
      </c>
      <c r="X114" s="30">
        <v>107.55</v>
      </c>
      <c r="Y114" s="30">
        <v>57.9</v>
      </c>
    </row>
    <row r="115" spans="2:25" x14ac:dyDescent="0.3">
      <c r="B115" s="26">
        <f>B114+50</f>
        <v>14150</v>
      </c>
      <c r="C115" s="61">
        <v>50.5</v>
      </c>
      <c r="D115" s="7">
        <v>49</v>
      </c>
      <c r="E115" s="40"/>
      <c r="F115" s="50">
        <f t="shared" si="6"/>
        <v>14199</v>
      </c>
      <c r="H115" s="7">
        <v>68.45</v>
      </c>
      <c r="I115" s="7"/>
      <c r="J115" s="7">
        <v>75.650000000000006</v>
      </c>
      <c r="K115" s="7">
        <v>65.5</v>
      </c>
      <c r="L115" s="7">
        <v>76.5</v>
      </c>
      <c r="M115" s="7">
        <v>107.4</v>
      </c>
    </row>
    <row r="116" spans="2:25" x14ac:dyDescent="0.3">
      <c r="B116" s="72">
        <f>B115+50</f>
        <v>14200</v>
      </c>
      <c r="C116" s="30">
        <v>31.3</v>
      </c>
      <c r="D116" s="7">
        <v>30.6</v>
      </c>
      <c r="E116" s="40"/>
      <c r="F116" s="30">
        <f t="shared" si="6"/>
        <v>14230.6</v>
      </c>
      <c r="H116" s="7">
        <v>45.55</v>
      </c>
      <c r="I116" s="7"/>
      <c r="J116" s="7">
        <v>50.65</v>
      </c>
      <c r="K116" s="7">
        <v>42.6</v>
      </c>
      <c r="L116" s="7">
        <v>51.2</v>
      </c>
      <c r="M116" s="7">
        <v>75.7</v>
      </c>
      <c r="Q116" s="133" t="s">
        <v>72</v>
      </c>
      <c r="R116" s="134"/>
      <c r="S116" s="135"/>
      <c r="W116" s="34" t="s">
        <v>68</v>
      </c>
      <c r="X116" s="56" t="s">
        <v>69</v>
      </c>
      <c r="Y116" s="57" t="s">
        <v>70</v>
      </c>
    </row>
    <row r="117" spans="2:25" x14ac:dyDescent="0.3">
      <c r="B117" s="26">
        <f>B116+50</f>
        <v>14250</v>
      </c>
      <c r="C117" s="30">
        <v>18.55</v>
      </c>
      <c r="D117" s="30">
        <v>18.2</v>
      </c>
      <c r="E117" s="40"/>
      <c r="F117" s="30">
        <f t="shared" si="6"/>
        <v>14268.2</v>
      </c>
      <c r="H117" s="7">
        <v>28.3</v>
      </c>
      <c r="I117" s="7"/>
      <c r="J117" s="7">
        <v>30.9</v>
      </c>
      <c r="K117" s="7">
        <v>25.5</v>
      </c>
      <c r="L117" s="7">
        <v>31.6</v>
      </c>
      <c r="M117" s="7">
        <v>49.5</v>
      </c>
      <c r="Q117" s="30">
        <v>112.8</v>
      </c>
      <c r="R117" s="73">
        <v>75</v>
      </c>
      <c r="S117" s="30">
        <f>R117*Q117</f>
        <v>8460</v>
      </c>
      <c r="W117" s="63">
        <v>0.41597222222222219</v>
      </c>
      <c r="X117" s="30">
        <v>50.5</v>
      </c>
      <c r="Y117" s="30">
        <v>56.7</v>
      </c>
    </row>
    <row r="118" spans="2:25" x14ac:dyDescent="0.3">
      <c r="E118" s="40"/>
      <c r="H118" s="17"/>
      <c r="I118" s="17"/>
      <c r="J118" s="17"/>
      <c r="K118" s="76"/>
      <c r="L118" s="17"/>
      <c r="M118" s="17"/>
      <c r="Q118" s="30">
        <v>73.8</v>
      </c>
      <c r="R118" s="73">
        <v>75</v>
      </c>
      <c r="S118" s="30">
        <f>R118*Q118</f>
        <v>5535</v>
      </c>
      <c r="W118" s="63">
        <v>0.4368055555555555</v>
      </c>
      <c r="X118" s="30">
        <v>47.1</v>
      </c>
      <c r="Y118" s="30">
        <v>58.15</v>
      </c>
    </row>
    <row r="119" spans="2:25" x14ac:dyDescent="0.3">
      <c r="C119" s="64">
        <v>43837</v>
      </c>
      <c r="E119" s="40">
        <f>F119-(G119-F119)</f>
        <v>48.674999999999997</v>
      </c>
      <c r="F119" s="40">
        <f>AVERAGE(C124,C114)</f>
        <v>73.875</v>
      </c>
      <c r="G119" s="40">
        <f>AVERAGE(C113,C123)</f>
        <v>99.075000000000003</v>
      </c>
      <c r="H119" s="66">
        <v>0.47916666666666669</v>
      </c>
      <c r="I119" s="66"/>
      <c r="J119" s="66">
        <v>0.52222222222222225</v>
      </c>
      <c r="K119" s="66">
        <v>5.5555555555555552E-2</v>
      </c>
      <c r="L119" s="67">
        <v>8.3333333333333329E-2</v>
      </c>
      <c r="M119" s="67">
        <v>0.13541666666666666</v>
      </c>
      <c r="Q119" s="30">
        <v>84.4</v>
      </c>
      <c r="R119" s="73">
        <v>75</v>
      </c>
      <c r="S119" s="30">
        <f>R119*Q119</f>
        <v>6330</v>
      </c>
      <c r="W119" s="63">
        <v>0.45763888888888887</v>
      </c>
      <c r="X119" s="30">
        <v>54.05</v>
      </c>
      <c r="Y119" s="30">
        <v>47.4</v>
      </c>
    </row>
    <row r="120" spans="2:25" x14ac:dyDescent="0.3">
      <c r="B120" s="34" t="s">
        <v>68</v>
      </c>
      <c r="C120" s="63">
        <v>0.41666666666666669</v>
      </c>
      <c r="D120" s="63">
        <v>0.39166666666666666</v>
      </c>
      <c r="E120" s="40"/>
      <c r="F120" s="40"/>
      <c r="H120" s="23">
        <v>112.8</v>
      </c>
      <c r="I120" s="7"/>
      <c r="J120" s="7">
        <v>14175.95</v>
      </c>
      <c r="K120" s="23">
        <v>47.55</v>
      </c>
      <c r="L120" s="7">
        <v>14180</v>
      </c>
      <c r="M120" s="7">
        <v>14225.7</v>
      </c>
      <c r="Q120" s="30">
        <f>S120/R120</f>
        <v>90.333333333333329</v>
      </c>
      <c r="R120" s="73">
        <f>SUM(R117:R119)</f>
        <v>225</v>
      </c>
      <c r="S120" s="30">
        <f>SUM(S117:S119)</f>
        <v>20325</v>
      </c>
      <c r="V120" s="40"/>
      <c r="W120" s="63">
        <v>0.47847222222222219</v>
      </c>
      <c r="X120" s="30">
        <v>64.650000000000006</v>
      </c>
      <c r="Y120" s="30">
        <v>41.15</v>
      </c>
    </row>
    <row r="121" spans="2:25" x14ac:dyDescent="0.3">
      <c r="B121" s="26">
        <f>B122+50</f>
        <v>14200</v>
      </c>
      <c r="C121" s="30">
        <v>150.80000000000001</v>
      </c>
      <c r="D121" s="30">
        <v>137.55000000000001</v>
      </c>
      <c r="E121" s="40"/>
      <c r="F121" s="30">
        <f t="shared" ref="F121:F126" si="7">B121-D121</f>
        <v>14062.45</v>
      </c>
      <c r="H121" s="7">
        <v>118.55</v>
      </c>
      <c r="I121" s="7"/>
      <c r="J121" s="7">
        <v>106.15</v>
      </c>
      <c r="K121" s="7">
        <v>122.8</v>
      </c>
      <c r="L121" s="7">
        <v>101.85</v>
      </c>
      <c r="M121" s="7">
        <v>77.45</v>
      </c>
      <c r="P121" s="51">
        <f>S126</f>
        <v>-1282.5</v>
      </c>
      <c r="Q121" s="56" t="s">
        <v>72</v>
      </c>
      <c r="S121" s="56" t="s">
        <v>73</v>
      </c>
      <c r="T121" s="23">
        <f>((X117+Y117)-(X126+Y126))</f>
        <v>-14.149999999999991</v>
      </c>
      <c r="U121" s="23"/>
      <c r="V121" s="51">
        <f>T121*225</f>
        <v>-3183.7499999999982</v>
      </c>
      <c r="W121" s="63">
        <v>0.4993055555555555</v>
      </c>
      <c r="X121" s="30">
        <v>66.3</v>
      </c>
      <c r="Y121" s="30">
        <v>42.5</v>
      </c>
    </row>
    <row r="122" spans="2:25" x14ac:dyDescent="0.3">
      <c r="B122" s="26">
        <f>B123+50</f>
        <v>14150</v>
      </c>
      <c r="C122" s="30">
        <v>120.05</v>
      </c>
      <c r="D122" s="30">
        <v>108.75</v>
      </c>
      <c r="E122" s="40"/>
      <c r="F122" s="30">
        <f t="shared" si="7"/>
        <v>14041.25</v>
      </c>
      <c r="H122" s="7">
        <v>91.5</v>
      </c>
      <c r="I122" s="7"/>
      <c r="J122" s="7">
        <v>81.2</v>
      </c>
      <c r="K122" s="7">
        <v>95.25</v>
      </c>
      <c r="L122" s="7">
        <v>77.05</v>
      </c>
      <c r="M122" s="7">
        <v>59.15</v>
      </c>
      <c r="Q122" s="30">
        <v>77.45</v>
      </c>
      <c r="R122" s="73">
        <v>75</v>
      </c>
      <c r="S122" s="30">
        <f>R122*Q122</f>
        <v>5808.75</v>
      </c>
      <c r="W122" s="63">
        <v>0.52013888888888882</v>
      </c>
      <c r="X122" s="30">
        <v>68.2</v>
      </c>
      <c r="Y122" s="30">
        <v>41.85</v>
      </c>
    </row>
    <row r="123" spans="2:25" x14ac:dyDescent="0.3">
      <c r="B123" s="26">
        <v>14100</v>
      </c>
      <c r="C123" s="30">
        <v>94.15</v>
      </c>
      <c r="D123" s="7">
        <v>84.8</v>
      </c>
      <c r="E123" s="40"/>
      <c r="F123" s="30">
        <f t="shared" si="7"/>
        <v>14015.2</v>
      </c>
      <c r="H123" s="7">
        <v>69.5</v>
      </c>
      <c r="I123" s="7"/>
      <c r="J123" s="7">
        <v>61.7</v>
      </c>
      <c r="K123" s="7">
        <v>73.400000000000006</v>
      </c>
      <c r="L123" s="7">
        <v>57.9</v>
      </c>
      <c r="M123" s="7">
        <v>45.45</v>
      </c>
      <c r="Q123" s="30">
        <v>99</v>
      </c>
      <c r="R123" s="73">
        <v>75</v>
      </c>
      <c r="S123" s="30">
        <f>R123*Q123</f>
        <v>7425</v>
      </c>
      <c r="T123" s="40"/>
      <c r="U123" s="40"/>
      <c r="V123" s="40"/>
      <c r="W123" s="63">
        <v>0.54097222222222219</v>
      </c>
      <c r="X123" s="30">
        <v>75.900000000000006</v>
      </c>
      <c r="Y123" s="30">
        <v>37.5</v>
      </c>
    </row>
    <row r="124" spans="2:25" x14ac:dyDescent="0.3">
      <c r="B124" s="26">
        <f>B123-50</f>
        <v>14050</v>
      </c>
      <c r="C124" s="30">
        <v>72.95</v>
      </c>
      <c r="D124" s="23">
        <v>66.099999999999994</v>
      </c>
      <c r="E124" s="40"/>
      <c r="F124" s="50">
        <f t="shared" si="7"/>
        <v>13983.9</v>
      </c>
      <c r="H124" s="7">
        <v>52.85</v>
      </c>
      <c r="I124" s="7"/>
      <c r="J124" s="7">
        <v>46.6</v>
      </c>
      <c r="K124" s="7">
        <v>56.1</v>
      </c>
      <c r="L124" s="7">
        <v>43.9</v>
      </c>
      <c r="M124" s="7">
        <v>35.049999999999997</v>
      </c>
      <c r="Q124" s="30">
        <v>77.45</v>
      </c>
      <c r="R124" s="73">
        <v>75</v>
      </c>
      <c r="S124" s="30">
        <f>R124*Q124</f>
        <v>5808.75</v>
      </c>
      <c r="T124" s="40"/>
      <c r="U124" s="40"/>
      <c r="V124" s="40"/>
      <c r="W124" s="63">
        <v>6.1805555555555558E-2</v>
      </c>
      <c r="X124" s="30">
        <v>59.8</v>
      </c>
      <c r="Y124" s="30">
        <v>45.55</v>
      </c>
    </row>
    <row r="125" spans="2:25" x14ac:dyDescent="0.3">
      <c r="B125" s="72">
        <f>B124-50</f>
        <v>14000</v>
      </c>
      <c r="C125" s="61">
        <v>56.7</v>
      </c>
      <c r="D125" s="7">
        <v>51.25</v>
      </c>
      <c r="E125" s="40"/>
      <c r="F125" s="30">
        <f t="shared" si="7"/>
        <v>13948.75</v>
      </c>
      <c r="H125" s="7">
        <v>40.5</v>
      </c>
      <c r="I125" s="7"/>
      <c r="J125" s="7">
        <v>35.9</v>
      </c>
      <c r="K125" s="7">
        <v>43.65</v>
      </c>
      <c r="L125" s="7">
        <v>33.25</v>
      </c>
      <c r="M125" s="7">
        <v>27.7</v>
      </c>
      <c r="Q125" s="30">
        <f>S125/R125</f>
        <v>84.63333333333334</v>
      </c>
      <c r="R125" s="73">
        <f>SUM(R122:R124)</f>
        <v>225</v>
      </c>
      <c r="S125" s="30">
        <f>SUM(S122:S124)</f>
        <v>19042.5</v>
      </c>
      <c r="W125" s="63">
        <v>8.2638888888888887E-2</v>
      </c>
      <c r="X125" s="30">
        <v>76.5</v>
      </c>
      <c r="Y125" s="30">
        <v>33.25</v>
      </c>
    </row>
    <row r="126" spans="2:25" x14ac:dyDescent="0.3">
      <c r="B126" s="26">
        <f>B125-50</f>
        <v>13950</v>
      </c>
      <c r="C126" s="30">
        <v>43.95</v>
      </c>
      <c r="D126" s="30">
        <v>39.75</v>
      </c>
      <c r="E126" s="40"/>
      <c r="F126" s="30">
        <f t="shared" si="7"/>
        <v>13910.25</v>
      </c>
      <c r="H126" s="7">
        <v>31.4</v>
      </c>
      <c r="I126" s="7"/>
      <c r="J126" s="7">
        <v>27.7</v>
      </c>
      <c r="K126" s="7">
        <v>34.1</v>
      </c>
      <c r="L126" s="7">
        <v>25.6</v>
      </c>
      <c r="M126" s="7">
        <v>22.15</v>
      </c>
      <c r="Q126" s="136" t="e">
        <f>S126/(R120-R125)</f>
        <v>#DIV/0!</v>
      </c>
      <c r="R126" s="137"/>
      <c r="S126" s="30">
        <f>S125-S120</f>
        <v>-1282.5</v>
      </c>
      <c r="W126" s="63">
        <v>0.52222222222222225</v>
      </c>
      <c r="X126" s="23">
        <v>73.8</v>
      </c>
      <c r="Y126" s="30">
        <v>47.55</v>
      </c>
    </row>
    <row r="133" spans="2:25" x14ac:dyDescent="0.3">
      <c r="G133" s="40"/>
      <c r="H133" s="40"/>
    </row>
    <row r="134" spans="2:25" x14ac:dyDescent="0.3">
      <c r="I134" s="40"/>
    </row>
    <row r="138" spans="2:25" x14ac:dyDescent="0.3">
      <c r="B138" s="40"/>
      <c r="C138" s="50">
        <f>B139+E139</f>
        <v>14270.7</v>
      </c>
      <c r="D138" s="51">
        <f>C138+E139</f>
        <v>14310.7</v>
      </c>
      <c r="E138" s="21"/>
      <c r="F138" s="21"/>
      <c r="H138" s="52" t="str">
        <f>IF((C147-D147)&gt;(C156-D156),"LONG",IF(C156&gt;D154,"LONG","SHORT"))</f>
        <v>LONG</v>
      </c>
      <c r="I138" s="138" t="s">
        <v>77</v>
      </c>
      <c r="J138" s="139"/>
      <c r="K138" s="140"/>
      <c r="L138" s="53">
        <f>AVERAGE(L139:L140)</f>
        <v>111.65</v>
      </c>
      <c r="Q138" s="54">
        <v>0.39166666666666666</v>
      </c>
      <c r="R138" s="54">
        <v>0.39861111111111108</v>
      </c>
      <c r="S138" s="54">
        <v>0.4055555555555555</v>
      </c>
      <c r="T138" s="54">
        <v>0.41250000000000003</v>
      </c>
      <c r="U138" s="55"/>
      <c r="W138" s="34" t="s">
        <v>68</v>
      </c>
      <c r="X138" s="56" t="s">
        <v>69</v>
      </c>
      <c r="Y138" s="57" t="s">
        <v>70</v>
      </c>
    </row>
    <row r="139" spans="2:25" x14ac:dyDescent="0.3">
      <c r="B139" s="50">
        <v>14230.7</v>
      </c>
      <c r="C139" s="40"/>
      <c r="D139" s="58"/>
      <c r="E139" s="59">
        <f>ROUND((((B139*F139%)/4)/10),0)*10</f>
        <v>40</v>
      </c>
      <c r="F139" s="51">
        <v>1.1599999999999999</v>
      </c>
      <c r="H139" s="60" t="s">
        <v>69</v>
      </c>
      <c r="I139" s="61">
        <f>AVERAGE(C156,C145)</f>
        <v>84.4</v>
      </c>
      <c r="J139" s="61">
        <f>AVERAGE(C156,C146)</f>
        <v>68.599999999999994</v>
      </c>
      <c r="K139" s="61">
        <f>AVERAGE(C156,C147)</f>
        <v>55.575000000000003</v>
      </c>
      <c r="L139" s="61">
        <f>C145</f>
        <v>103.6</v>
      </c>
      <c r="Q139" s="51">
        <v>14236.05</v>
      </c>
      <c r="R139" s="51">
        <v>14202.95</v>
      </c>
      <c r="S139" s="51">
        <v>14215.7</v>
      </c>
      <c r="T139" s="51">
        <v>14232.05</v>
      </c>
      <c r="U139" s="62"/>
      <c r="W139" s="63">
        <v>0.41597222222222219</v>
      </c>
      <c r="X139" s="30">
        <v>45.95</v>
      </c>
      <c r="Y139" s="30">
        <v>65.2</v>
      </c>
    </row>
    <row r="140" spans="2:25" x14ac:dyDescent="0.3">
      <c r="B140" s="40"/>
      <c r="C140" s="50">
        <f>B139-E139</f>
        <v>14190.7</v>
      </c>
      <c r="D140" s="51">
        <f>C140-E139</f>
        <v>14150.7</v>
      </c>
      <c r="E140" s="21"/>
      <c r="F140" s="21"/>
      <c r="H140" s="60" t="s">
        <v>70</v>
      </c>
      <c r="I140" s="61">
        <f>AVERAGE(C147,C154)</f>
        <v>82.825000000000003</v>
      </c>
      <c r="J140" s="61">
        <f>AVERAGE(C147,C155)</f>
        <v>67.7</v>
      </c>
      <c r="K140" s="61">
        <f>AVERAGE(C147,C156)</f>
        <v>55.575000000000003</v>
      </c>
      <c r="L140" s="61">
        <f>C154</f>
        <v>119.7</v>
      </c>
      <c r="M140" s="40"/>
      <c r="W140" s="63">
        <v>0.4368055555555555</v>
      </c>
      <c r="X140" s="30">
        <v>41.45</v>
      </c>
      <c r="Y140" s="30">
        <v>69.75</v>
      </c>
    </row>
    <row r="141" spans="2:25" x14ac:dyDescent="0.3">
      <c r="F141" s="40"/>
      <c r="G141" s="40"/>
      <c r="K141" s="40"/>
      <c r="L141" s="40"/>
      <c r="M141" s="40"/>
      <c r="W141" s="63">
        <v>0.45763888888888887</v>
      </c>
      <c r="X141" s="30">
        <v>43.4</v>
      </c>
      <c r="Y141" s="30">
        <v>60.4</v>
      </c>
    </row>
    <row r="142" spans="2:25" x14ac:dyDescent="0.3">
      <c r="B142" s="40"/>
      <c r="H142">
        <v>111.65</v>
      </c>
      <c r="W142" s="63">
        <v>0.47847222222222219</v>
      </c>
      <c r="X142" s="30">
        <v>41.5</v>
      </c>
      <c r="Y142" s="30">
        <v>61.5</v>
      </c>
    </row>
    <row r="143" spans="2:25" x14ac:dyDescent="0.3">
      <c r="C143" s="64">
        <v>44202</v>
      </c>
      <c r="D143" s="30">
        <v>124.9</v>
      </c>
      <c r="F143" s="30">
        <f>AVERAGE(F145,F154)</f>
        <v>14215.05</v>
      </c>
      <c r="G143" s="65"/>
      <c r="H143" s="66">
        <v>5.2083333333333336E-2</v>
      </c>
      <c r="I143" s="66">
        <v>7.6388888888888895E-2</v>
      </c>
      <c r="J143" s="66">
        <v>0.42083333333333334</v>
      </c>
      <c r="K143" s="66">
        <v>8.9583333333333334E-2</v>
      </c>
      <c r="L143" s="67">
        <v>8.3333333333333329E-2</v>
      </c>
      <c r="M143" s="67">
        <v>0.13541666666666666</v>
      </c>
      <c r="Q143" s="132" t="s">
        <v>71</v>
      </c>
      <c r="R143" s="132"/>
      <c r="S143" s="132" t="s">
        <v>37</v>
      </c>
      <c r="T143" s="132"/>
      <c r="U143" s="69"/>
      <c r="W143" s="63">
        <v>0.4993055555555555</v>
      </c>
      <c r="X143" s="30">
        <v>39.799999999999997</v>
      </c>
      <c r="Y143" s="30">
        <v>65.150000000000006</v>
      </c>
    </row>
    <row r="144" spans="2:25" x14ac:dyDescent="0.3">
      <c r="B144" s="34" t="s">
        <v>68</v>
      </c>
      <c r="C144" s="63">
        <v>0.41666666666666669</v>
      </c>
      <c r="D144" s="63">
        <v>0.39861111111111108</v>
      </c>
      <c r="H144" s="23">
        <v>84.4</v>
      </c>
      <c r="I144" s="7">
        <v>14150.65</v>
      </c>
      <c r="J144" s="7">
        <v>14212</v>
      </c>
      <c r="K144" s="23">
        <v>11.8</v>
      </c>
      <c r="L144" s="7">
        <v>14165.35</v>
      </c>
      <c r="M144" s="7">
        <v>14189.55</v>
      </c>
      <c r="Q144" s="61">
        <f>R144-(S144-R144)</f>
        <v>13768.25</v>
      </c>
      <c r="R144" s="61">
        <v>13977.6</v>
      </c>
      <c r="S144" s="61">
        <v>14186.95</v>
      </c>
      <c r="T144" s="61">
        <f>S144+(S144-R144)</f>
        <v>14396.300000000001</v>
      </c>
      <c r="U144" s="71"/>
      <c r="W144" s="63">
        <v>0.52013888888888882</v>
      </c>
      <c r="X144" s="30">
        <v>41.5</v>
      </c>
      <c r="Y144" s="30">
        <v>56.65</v>
      </c>
    </row>
    <row r="145" spans="2:25" x14ac:dyDescent="0.3">
      <c r="B145" s="26">
        <f>B146-50</f>
        <v>14150</v>
      </c>
      <c r="C145" s="30">
        <v>103.6</v>
      </c>
      <c r="D145" s="30">
        <v>91.4</v>
      </c>
      <c r="E145" s="40"/>
      <c r="F145" s="30">
        <f t="shared" ref="F145:F150" si="8">B145+D145</f>
        <v>14241.4</v>
      </c>
      <c r="H145" s="7">
        <v>79.05</v>
      </c>
      <c r="I145" s="7">
        <v>60.15</v>
      </c>
      <c r="J145" s="7">
        <v>94</v>
      </c>
      <c r="K145" s="7">
        <v>52.5</v>
      </c>
      <c r="L145" s="7">
        <v>64.8</v>
      </c>
      <c r="M145" s="7">
        <v>63.8</v>
      </c>
      <c r="W145" s="63">
        <v>0.54097222222222219</v>
      </c>
      <c r="X145" s="30">
        <v>38.85</v>
      </c>
      <c r="Y145" s="30">
        <v>59.45</v>
      </c>
    </row>
    <row r="146" spans="2:25" x14ac:dyDescent="0.3">
      <c r="B146" s="26">
        <f>B147-50</f>
        <v>14200</v>
      </c>
      <c r="C146" s="30">
        <v>72</v>
      </c>
      <c r="D146" s="30">
        <v>62.9</v>
      </c>
      <c r="E146" s="40"/>
      <c r="F146" s="30">
        <f t="shared" si="8"/>
        <v>14262.9</v>
      </c>
      <c r="H146" s="7">
        <v>51.7</v>
      </c>
      <c r="I146" s="7">
        <v>38.85</v>
      </c>
      <c r="J146" s="7">
        <v>64.900000000000006</v>
      </c>
      <c r="K146" s="7">
        <v>33.799999999999997</v>
      </c>
      <c r="L146" s="7">
        <v>41.65</v>
      </c>
      <c r="M146" s="7">
        <v>37.9</v>
      </c>
      <c r="W146" s="63">
        <v>6.1805555555555558E-2</v>
      </c>
      <c r="X146" s="30">
        <v>35.6</v>
      </c>
      <c r="Y146" s="30">
        <v>64.849999999999994</v>
      </c>
    </row>
    <row r="147" spans="2:25" x14ac:dyDescent="0.3">
      <c r="B147" s="26">
        <v>14250</v>
      </c>
      <c r="C147" s="30">
        <v>45.95</v>
      </c>
      <c r="D147" s="7">
        <v>40.200000000000003</v>
      </c>
      <c r="E147" s="40"/>
      <c r="F147" s="30">
        <f t="shared" si="8"/>
        <v>14290.2</v>
      </c>
      <c r="H147" s="7">
        <v>31.3</v>
      </c>
      <c r="I147" s="7">
        <v>23.15</v>
      </c>
      <c r="J147" s="7">
        <v>41.05</v>
      </c>
      <c r="K147" s="7">
        <v>20.350000000000001</v>
      </c>
      <c r="L147" s="7">
        <v>24.9</v>
      </c>
      <c r="M147" s="7">
        <v>19.7</v>
      </c>
      <c r="W147" s="63">
        <v>8.2638888888888887E-2</v>
      </c>
      <c r="X147" s="30">
        <v>24.9</v>
      </c>
      <c r="Y147" s="30">
        <v>104.9</v>
      </c>
    </row>
    <row r="148" spans="2:25" x14ac:dyDescent="0.3">
      <c r="B148" s="26">
        <f>B147+50</f>
        <v>14300</v>
      </c>
      <c r="C148" s="61">
        <v>26.45</v>
      </c>
      <c r="D148" s="23">
        <v>23.35</v>
      </c>
      <c r="E148" s="40"/>
      <c r="F148" s="50">
        <f t="shared" si="8"/>
        <v>14323.35</v>
      </c>
      <c r="H148" s="7">
        <v>17.399999999999999</v>
      </c>
      <c r="I148" s="7">
        <v>13.2</v>
      </c>
      <c r="J148" s="7">
        <v>23.15</v>
      </c>
      <c r="K148" s="7">
        <v>11.8</v>
      </c>
      <c r="L148" s="7">
        <v>13.9</v>
      </c>
      <c r="M148" s="7">
        <v>9</v>
      </c>
    </row>
    <row r="149" spans="2:25" x14ac:dyDescent="0.3">
      <c r="B149" s="72">
        <f>B148+50</f>
        <v>14350</v>
      </c>
      <c r="C149" s="30">
        <v>13.55</v>
      </c>
      <c r="D149" s="30">
        <v>12</v>
      </c>
      <c r="E149" s="40"/>
      <c r="F149" s="30">
        <f t="shared" si="8"/>
        <v>14362</v>
      </c>
      <c r="H149" s="7">
        <v>8.9</v>
      </c>
      <c r="I149" s="7">
        <v>7</v>
      </c>
      <c r="J149" s="7">
        <v>11.8</v>
      </c>
      <c r="K149" s="7">
        <v>6.5</v>
      </c>
      <c r="L149" s="7">
        <v>7.2</v>
      </c>
      <c r="M149" s="7">
        <v>4.05</v>
      </c>
      <c r="Q149" s="133" t="s">
        <v>72</v>
      </c>
      <c r="R149" s="134"/>
      <c r="S149" s="135"/>
      <c r="W149" s="34" t="s">
        <v>68</v>
      </c>
      <c r="X149" s="56" t="s">
        <v>69</v>
      </c>
      <c r="Y149" s="57" t="s">
        <v>70</v>
      </c>
    </row>
    <row r="150" spans="2:25" x14ac:dyDescent="0.3">
      <c r="B150" s="26">
        <f>B149+50</f>
        <v>14400</v>
      </c>
      <c r="C150" s="30">
        <v>6.55</v>
      </c>
      <c r="D150" s="30">
        <v>5.9</v>
      </c>
      <c r="E150" s="40"/>
      <c r="F150" s="30">
        <f t="shared" si="8"/>
        <v>14405.9</v>
      </c>
      <c r="H150" s="7">
        <v>4.5999999999999996</v>
      </c>
      <c r="I150" s="7">
        <v>3.85</v>
      </c>
      <c r="J150" s="7">
        <v>5.6</v>
      </c>
      <c r="K150" s="7">
        <v>3.7</v>
      </c>
      <c r="L150" s="7">
        <v>3.9</v>
      </c>
      <c r="M150" s="7">
        <v>2.7</v>
      </c>
      <c r="Q150" s="30">
        <v>84.4</v>
      </c>
      <c r="R150" s="73">
        <v>75</v>
      </c>
      <c r="S150" s="30">
        <f>R150*Q150</f>
        <v>6330</v>
      </c>
      <c r="W150" s="63">
        <v>0.41597222222222219</v>
      </c>
      <c r="X150" s="30">
        <v>26.45</v>
      </c>
      <c r="Y150" s="30">
        <v>46.85</v>
      </c>
    </row>
    <row r="151" spans="2:25" x14ac:dyDescent="0.3">
      <c r="E151" s="40"/>
      <c r="H151" s="17"/>
      <c r="I151" s="17"/>
      <c r="J151" s="17"/>
      <c r="K151" s="76"/>
      <c r="L151" s="17"/>
      <c r="M151" s="17"/>
      <c r="Q151" s="30">
        <v>55.5</v>
      </c>
      <c r="R151" s="73">
        <v>75</v>
      </c>
      <c r="S151" s="30">
        <f>R151*Q151</f>
        <v>4162.5</v>
      </c>
      <c r="W151" s="63">
        <v>0.4368055555555555</v>
      </c>
      <c r="X151" s="30">
        <v>23.45</v>
      </c>
      <c r="Y151" s="30">
        <v>50.5</v>
      </c>
    </row>
    <row r="152" spans="2:25" x14ac:dyDescent="0.3">
      <c r="C152" s="64">
        <v>43837</v>
      </c>
      <c r="E152" s="40">
        <f>F152-(G152-F152)</f>
        <v>30.425000000000011</v>
      </c>
      <c r="F152" s="40">
        <f>AVERAGE(C147,C156)</f>
        <v>55.575000000000003</v>
      </c>
      <c r="G152" s="40">
        <f>AVERAGE(C146,C155)</f>
        <v>80.724999999999994</v>
      </c>
      <c r="H152" s="66">
        <v>5.2083333333333336E-2</v>
      </c>
      <c r="I152" s="66">
        <v>7.6388888888888895E-2</v>
      </c>
      <c r="J152" s="66">
        <v>0.42083333333333334</v>
      </c>
      <c r="K152" s="66">
        <v>8.9583333333333334E-2</v>
      </c>
      <c r="L152" s="67">
        <v>8.3333333333333329E-2</v>
      </c>
      <c r="M152" s="67">
        <v>0.13541666666666666</v>
      </c>
      <c r="Q152" s="30"/>
      <c r="R152" s="73"/>
      <c r="S152" s="30">
        <f>R152*Q152</f>
        <v>0</v>
      </c>
      <c r="W152" s="63">
        <v>0.45763888888888887</v>
      </c>
      <c r="X152" s="30">
        <v>24.35</v>
      </c>
      <c r="Y152" s="30">
        <v>42.95</v>
      </c>
    </row>
    <row r="153" spans="2:25" x14ac:dyDescent="0.3">
      <c r="B153" s="34" t="s">
        <v>68</v>
      </c>
      <c r="C153" s="63">
        <v>0.41666666666666669</v>
      </c>
      <c r="D153" s="63">
        <v>0.3888888888888889</v>
      </c>
      <c r="E153" s="40"/>
      <c r="F153" s="40"/>
      <c r="H153" s="7">
        <v>14203.55</v>
      </c>
      <c r="I153" s="7">
        <v>80.7</v>
      </c>
      <c r="J153" s="23">
        <v>55.5</v>
      </c>
      <c r="K153" s="7">
        <v>14122</v>
      </c>
      <c r="L153" s="7">
        <v>14165.35</v>
      </c>
      <c r="M153" s="7">
        <v>14189.55</v>
      </c>
      <c r="Q153" s="30">
        <f>S153/R153</f>
        <v>69.95</v>
      </c>
      <c r="R153" s="73">
        <f>SUM(R150:R152)</f>
        <v>150</v>
      </c>
      <c r="S153" s="30">
        <f>SUM(S150:S152)</f>
        <v>10492.5</v>
      </c>
      <c r="V153" s="40"/>
      <c r="W153" s="63">
        <v>0.47847222222222219</v>
      </c>
      <c r="X153" s="30">
        <v>22.95</v>
      </c>
      <c r="Y153" s="30">
        <v>43.9</v>
      </c>
    </row>
    <row r="154" spans="2:25" x14ac:dyDescent="0.3">
      <c r="B154" s="26">
        <f>B155+50</f>
        <v>14300</v>
      </c>
      <c r="C154" s="30">
        <v>119.7</v>
      </c>
      <c r="D154" s="30">
        <v>111.3</v>
      </c>
      <c r="E154" s="40"/>
      <c r="F154" s="30">
        <f t="shared" ref="F154:F159" si="9">B154-D154</f>
        <v>14188.7</v>
      </c>
      <c r="H154" s="7">
        <v>143.30000000000001</v>
      </c>
      <c r="I154" s="7">
        <v>187.85</v>
      </c>
      <c r="J154" s="7">
        <v>132.69999999999999</v>
      </c>
      <c r="K154" s="7">
        <v>213.25</v>
      </c>
      <c r="L154" s="7">
        <v>177.1</v>
      </c>
      <c r="M154" s="7">
        <v>147</v>
      </c>
      <c r="P154" s="50">
        <f>S159</f>
        <v>345</v>
      </c>
      <c r="Q154" s="57" t="s">
        <v>72</v>
      </c>
      <c r="S154" s="57" t="s">
        <v>73</v>
      </c>
      <c r="T154" s="23">
        <f>((X150+Y150)-(X159+Y159))</f>
        <v>6</v>
      </c>
      <c r="U154" s="23"/>
      <c r="V154" s="50">
        <f>T154*225</f>
        <v>1350</v>
      </c>
      <c r="W154" s="63">
        <v>0.4993055555555555</v>
      </c>
      <c r="X154" s="30">
        <v>21.95</v>
      </c>
      <c r="Y154" s="30">
        <v>46</v>
      </c>
    </row>
    <row r="155" spans="2:25" x14ac:dyDescent="0.3">
      <c r="B155" s="26">
        <f>B156+50</f>
        <v>14250</v>
      </c>
      <c r="C155" s="30">
        <v>89.45</v>
      </c>
      <c r="D155" s="30">
        <v>81.95</v>
      </c>
      <c r="E155" s="40"/>
      <c r="F155" s="30">
        <f t="shared" si="9"/>
        <v>14168.05</v>
      </c>
      <c r="H155" s="7">
        <v>107.65</v>
      </c>
      <c r="I155" s="7">
        <v>147.6</v>
      </c>
      <c r="J155" s="7">
        <v>100.35</v>
      </c>
      <c r="K155" s="7">
        <v>173.2</v>
      </c>
      <c r="L155" s="7">
        <v>138.19999999999999</v>
      </c>
      <c r="M155" s="7">
        <v>107.5</v>
      </c>
      <c r="Q155" s="30">
        <v>63.8</v>
      </c>
      <c r="R155" s="73">
        <v>75</v>
      </c>
      <c r="S155" s="30">
        <f>R155*Q155</f>
        <v>4785</v>
      </c>
      <c r="W155" s="63">
        <v>0.52013888888888882</v>
      </c>
      <c r="X155" s="30">
        <v>22.95</v>
      </c>
      <c r="Y155" s="30">
        <v>39.200000000000003</v>
      </c>
    </row>
    <row r="156" spans="2:25" x14ac:dyDescent="0.3">
      <c r="B156" s="26">
        <v>14200</v>
      </c>
      <c r="C156" s="30">
        <v>65.2</v>
      </c>
      <c r="D156" s="7">
        <v>59.65</v>
      </c>
      <c r="E156" s="40"/>
      <c r="F156" s="30">
        <f t="shared" si="9"/>
        <v>14140.35</v>
      </c>
      <c r="H156" s="7">
        <v>77.900000000000006</v>
      </c>
      <c r="I156" s="7">
        <v>113.95</v>
      </c>
      <c r="J156" s="7">
        <v>74.3</v>
      </c>
      <c r="K156" s="7">
        <v>137.85</v>
      </c>
      <c r="L156" s="7">
        <v>104.9</v>
      </c>
      <c r="M156" s="7">
        <v>76</v>
      </c>
      <c r="Q156" s="30">
        <v>80.7</v>
      </c>
      <c r="R156" s="73">
        <v>75</v>
      </c>
      <c r="S156" s="30">
        <f>R156*Q156</f>
        <v>6052.5</v>
      </c>
      <c r="T156" s="40"/>
      <c r="U156" s="40"/>
      <c r="V156" s="40"/>
      <c r="W156" s="63">
        <v>0.54097222222222219</v>
      </c>
      <c r="X156" s="30">
        <v>21.55</v>
      </c>
      <c r="Y156" s="30">
        <v>40.75</v>
      </c>
    </row>
    <row r="157" spans="2:25" x14ac:dyDescent="0.3">
      <c r="B157" s="26">
        <f>B156-50</f>
        <v>14150</v>
      </c>
      <c r="C157" s="61">
        <v>46.85</v>
      </c>
      <c r="D157" s="23">
        <v>42.7</v>
      </c>
      <c r="E157" s="40"/>
      <c r="F157" s="50">
        <f t="shared" si="9"/>
        <v>14107.3</v>
      </c>
      <c r="H157" s="7">
        <v>55.05</v>
      </c>
      <c r="I157" s="7">
        <v>84.9</v>
      </c>
      <c r="J157" s="7">
        <v>53.85</v>
      </c>
      <c r="K157" s="7">
        <v>106.25</v>
      </c>
      <c r="L157" s="7">
        <v>78.75</v>
      </c>
      <c r="M157" s="7">
        <v>51.1</v>
      </c>
      <c r="Q157" s="30"/>
      <c r="R157" s="73"/>
      <c r="S157" s="30">
        <f>R157*Q157</f>
        <v>0</v>
      </c>
      <c r="T157" s="40"/>
      <c r="U157" s="40"/>
      <c r="V157" s="40"/>
      <c r="W157" s="63">
        <v>6.1805555555555558E-2</v>
      </c>
      <c r="X157" s="30">
        <v>19.2</v>
      </c>
      <c r="Y157" s="30">
        <v>44.65</v>
      </c>
    </row>
    <row r="158" spans="2:25" x14ac:dyDescent="0.3">
      <c r="B158" s="72">
        <f>B157-50</f>
        <v>14100</v>
      </c>
      <c r="C158" s="30">
        <v>33.700000000000003</v>
      </c>
      <c r="D158" s="7">
        <v>30.55</v>
      </c>
      <c r="E158" s="40"/>
      <c r="F158" s="30">
        <f t="shared" si="9"/>
        <v>14069.45</v>
      </c>
      <c r="H158" s="7">
        <v>38.700000000000003</v>
      </c>
      <c r="I158" s="7">
        <v>61.95</v>
      </c>
      <c r="J158" s="7">
        <v>38.950000000000003</v>
      </c>
      <c r="K158" s="7">
        <v>80</v>
      </c>
      <c r="L158" s="7">
        <v>57</v>
      </c>
      <c r="M158" s="7">
        <v>33.85</v>
      </c>
      <c r="Q158" s="30">
        <f>S158/R158</f>
        <v>72.25</v>
      </c>
      <c r="R158" s="73">
        <f>SUM(R155:R157)</f>
        <v>150</v>
      </c>
      <c r="S158" s="30">
        <f>SUM(S155:S157)</f>
        <v>10837.5</v>
      </c>
      <c r="W158" s="63">
        <v>8.2638888888888887E-2</v>
      </c>
      <c r="X158" s="30">
        <v>13.9</v>
      </c>
      <c r="Y158" s="30">
        <v>78.75</v>
      </c>
    </row>
    <row r="159" spans="2:25" x14ac:dyDescent="0.3">
      <c r="B159" s="26">
        <f>B158-50</f>
        <v>14050</v>
      </c>
      <c r="C159" s="30">
        <v>24.9</v>
      </c>
      <c r="D159" s="30">
        <v>22.3</v>
      </c>
      <c r="E159" s="40"/>
      <c r="F159" s="30">
        <f t="shared" si="9"/>
        <v>14027.7</v>
      </c>
      <c r="H159" s="7">
        <v>27.65</v>
      </c>
      <c r="I159" s="7">
        <v>43.35</v>
      </c>
      <c r="J159" s="7">
        <v>28.9</v>
      </c>
      <c r="K159" s="7">
        <v>58.1</v>
      </c>
      <c r="L159" s="7">
        <v>39.65</v>
      </c>
      <c r="M159" s="7">
        <v>21.95</v>
      </c>
      <c r="Q159" s="136" t="e">
        <f>S159/(R153-R158)</f>
        <v>#DIV/0!</v>
      </c>
      <c r="R159" s="137"/>
      <c r="S159" s="30">
        <f>S158-S153</f>
        <v>345</v>
      </c>
      <c r="W159" s="63">
        <v>0.42083333333333334</v>
      </c>
      <c r="X159" s="30">
        <v>11.8</v>
      </c>
      <c r="Y159" s="23">
        <v>55.5</v>
      </c>
    </row>
    <row r="166" spans="2:25" x14ac:dyDescent="0.3">
      <c r="I166" s="40"/>
      <c r="J166" s="40"/>
      <c r="K166" s="40"/>
      <c r="L166" s="40"/>
    </row>
    <row r="171" spans="2:25" x14ac:dyDescent="0.3">
      <c r="B171" s="40"/>
      <c r="C171" s="50">
        <f>B172+E172</f>
        <v>14300.1</v>
      </c>
      <c r="D171" s="51">
        <f>C171+E172</f>
        <v>14340.1</v>
      </c>
      <c r="E171" s="21"/>
      <c r="F171" s="21"/>
      <c r="H171" s="52" t="str">
        <f>IF((C180-D180)&gt;(C189-D189),"LONG",IF(C189&gt;D187,"LONG","SHORT"))</f>
        <v>SHORT</v>
      </c>
      <c r="I171" s="138" t="s">
        <v>78</v>
      </c>
      <c r="J171" s="139"/>
      <c r="K171" s="140"/>
      <c r="L171" s="53">
        <f>AVERAGE(L172:L173)</f>
        <v>183.32499999999999</v>
      </c>
      <c r="Q171" s="54">
        <v>0.39166666666666666</v>
      </c>
      <c r="R171" s="54">
        <v>0.39861111111111108</v>
      </c>
      <c r="S171" s="54">
        <v>0.4055555555555555</v>
      </c>
      <c r="T171" s="54">
        <v>0.41250000000000003</v>
      </c>
      <c r="U171" s="55"/>
      <c r="W171" s="34" t="s">
        <v>68</v>
      </c>
      <c r="X171" s="56" t="s">
        <v>69</v>
      </c>
      <c r="Y171" s="57" t="s">
        <v>70</v>
      </c>
    </row>
    <row r="172" spans="2:25" x14ac:dyDescent="0.3">
      <c r="B172" s="50">
        <v>14260.1</v>
      </c>
      <c r="C172" s="40"/>
      <c r="D172" s="58"/>
      <c r="E172" s="59">
        <f>ROUND((((B172*F172%)/4)/10),0)*10</f>
        <v>40</v>
      </c>
      <c r="F172" s="51">
        <v>1.19</v>
      </c>
      <c r="H172" s="60" t="s">
        <v>69</v>
      </c>
      <c r="I172" s="61">
        <f>AVERAGE(C189,C178)</f>
        <v>157.77500000000001</v>
      </c>
      <c r="J172" s="61">
        <f>AVERAGE(C189,C179)</f>
        <v>141.5</v>
      </c>
      <c r="K172" s="61">
        <f>AVERAGE(C189,C180)</f>
        <v>127.22499999999999</v>
      </c>
      <c r="L172" s="61">
        <f>C178</f>
        <v>181.55</v>
      </c>
      <c r="Q172" s="51">
        <v>14254</v>
      </c>
      <c r="R172" s="51">
        <v>14250</v>
      </c>
      <c r="S172" s="51">
        <v>14250.5</v>
      </c>
      <c r="T172" s="51">
        <v>14263</v>
      </c>
      <c r="U172" s="62"/>
      <c r="W172" s="63">
        <v>0.41597222222222219</v>
      </c>
      <c r="X172" s="30">
        <v>120.45</v>
      </c>
      <c r="Y172" s="30">
        <v>134</v>
      </c>
    </row>
    <row r="173" spans="2:25" x14ac:dyDescent="0.3">
      <c r="B173" s="40"/>
      <c r="C173" s="50">
        <f>B172-E172</f>
        <v>14220.1</v>
      </c>
      <c r="D173" s="51">
        <f>C173-E172</f>
        <v>14180.1</v>
      </c>
      <c r="E173" s="21"/>
      <c r="F173" s="21"/>
      <c r="H173" s="60" t="s">
        <v>70</v>
      </c>
      <c r="I173" s="61">
        <f>AVERAGE(C180,C187)</f>
        <v>152.77500000000001</v>
      </c>
      <c r="J173" s="61">
        <f>AVERAGE(C180,C188)</f>
        <v>139.35</v>
      </c>
      <c r="K173" s="61">
        <f>AVERAGE(C180,C189)</f>
        <v>127.22499999999999</v>
      </c>
      <c r="L173" s="61">
        <f>C187</f>
        <v>185.1</v>
      </c>
      <c r="W173" s="63">
        <v>0.4368055555555555</v>
      </c>
      <c r="X173" s="30">
        <v>107.55</v>
      </c>
      <c r="Y173" s="30">
        <v>148.80000000000001</v>
      </c>
    </row>
    <row r="174" spans="2:25" x14ac:dyDescent="0.3">
      <c r="F174" s="40"/>
      <c r="G174" s="40"/>
      <c r="K174" s="40"/>
      <c r="W174" s="63">
        <v>0.45763888888888887</v>
      </c>
      <c r="X174" s="30">
        <v>105.7</v>
      </c>
      <c r="Y174" s="30">
        <v>149.69999999999999</v>
      </c>
    </row>
    <row r="175" spans="2:25" x14ac:dyDescent="0.3">
      <c r="B175" s="40"/>
      <c r="W175" s="63">
        <v>0.47847222222222219</v>
      </c>
      <c r="X175" s="30">
        <v>106.85</v>
      </c>
      <c r="Y175" s="30">
        <v>147.94999999999999</v>
      </c>
    </row>
    <row r="176" spans="2:25" x14ac:dyDescent="0.3">
      <c r="C176" s="64">
        <v>44203</v>
      </c>
      <c r="F176" s="30">
        <f>AVERAGE(F178,F187)</f>
        <v>14247.174999999999</v>
      </c>
      <c r="G176" s="65"/>
      <c r="H176" s="66">
        <v>0.45694444444444443</v>
      </c>
      <c r="I176" s="66"/>
      <c r="J176" s="66">
        <v>0.4597222222222222</v>
      </c>
      <c r="K176" s="66"/>
      <c r="L176" s="66">
        <v>8.3333333333333329E-2</v>
      </c>
      <c r="M176" s="66">
        <v>0.13472222222222222</v>
      </c>
      <c r="Q176" s="132" t="s">
        <v>71</v>
      </c>
      <c r="R176" s="132"/>
      <c r="S176" s="132" t="s">
        <v>37</v>
      </c>
      <c r="T176" s="132"/>
      <c r="U176" s="69"/>
      <c r="W176" s="63">
        <v>0.4993055555555555</v>
      </c>
      <c r="X176" s="30">
        <v>102.05</v>
      </c>
      <c r="Y176" s="30">
        <v>149.30000000000001</v>
      </c>
    </row>
    <row r="177" spans="2:25" x14ac:dyDescent="0.3">
      <c r="B177" s="34" t="s">
        <v>68</v>
      </c>
      <c r="C177" s="63">
        <v>0.41666666666666669</v>
      </c>
      <c r="D177" s="63">
        <v>0.40069444444444446</v>
      </c>
      <c r="H177" s="23">
        <v>157.69999999999999</v>
      </c>
      <c r="I177" s="7"/>
      <c r="J177" s="7">
        <v>14210.45</v>
      </c>
      <c r="K177" s="7"/>
      <c r="L177" s="7">
        <v>14234.15</v>
      </c>
      <c r="M177" s="7">
        <v>14190</v>
      </c>
      <c r="Q177" s="61">
        <f>R177-(S177-R177)</f>
        <v>13863.3</v>
      </c>
      <c r="R177" s="61">
        <v>14047</v>
      </c>
      <c r="S177" s="61">
        <v>14230.7</v>
      </c>
      <c r="T177" s="61">
        <f>S177+(S177-R177)</f>
        <v>14414.400000000001</v>
      </c>
      <c r="U177" s="71"/>
      <c r="W177" s="63">
        <v>0.52013888888888882</v>
      </c>
      <c r="X177" s="30">
        <v>103.7</v>
      </c>
      <c r="Y177" s="30">
        <v>144.9</v>
      </c>
    </row>
    <row r="178" spans="2:25" x14ac:dyDescent="0.3">
      <c r="B178" s="26">
        <f>B179-50</f>
        <v>14150</v>
      </c>
      <c r="C178" s="30">
        <v>181.55</v>
      </c>
      <c r="D178" s="30">
        <v>175.65</v>
      </c>
      <c r="E178" s="40"/>
      <c r="F178" s="30">
        <f t="shared" ref="F178:F183" si="10">B178+D178</f>
        <v>14325.65</v>
      </c>
      <c r="H178" s="7">
        <v>158.30000000000001</v>
      </c>
      <c r="I178" s="7"/>
      <c r="J178" s="7">
        <v>154.6</v>
      </c>
      <c r="K178" s="7"/>
      <c r="L178" s="7">
        <v>160</v>
      </c>
      <c r="M178" s="7">
        <v>139.6</v>
      </c>
      <c r="R178" s="40"/>
      <c r="S178" s="40"/>
      <c r="W178" s="63">
        <v>0.54097222222222219</v>
      </c>
      <c r="X178" s="30">
        <v>110.35</v>
      </c>
      <c r="Y178" s="30">
        <v>136</v>
      </c>
    </row>
    <row r="179" spans="2:25" x14ac:dyDescent="0.3">
      <c r="B179" s="26">
        <f>B180-50</f>
        <v>14200</v>
      </c>
      <c r="C179" s="30">
        <v>149</v>
      </c>
      <c r="D179" s="30">
        <v>143.9</v>
      </c>
      <c r="E179" s="40"/>
      <c r="F179" s="30">
        <f t="shared" si="10"/>
        <v>14343.9</v>
      </c>
      <c r="H179" s="7">
        <v>128.94999999999999</v>
      </c>
      <c r="I179" s="7"/>
      <c r="J179" s="7">
        <v>125.85</v>
      </c>
      <c r="K179" s="7"/>
      <c r="L179" s="7">
        <v>130</v>
      </c>
      <c r="M179" s="7">
        <v>111.7</v>
      </c>
      <c r="W179" s="63">
        <v>6.1805555555555558E-2</v>
      </c>
      <c r="X179" s="30">
        <v>108.3</v>
      </c>
      <c r="Y179" s="30">
        <v>135.9</v>
      </c>
    </row>
    <row r="180" spans="2:25" x14ac:dyDescent="0.3">
      <c r="B180" s="26">
        <v>14250</v>
      </c>
      <c r="C180" s="30">
        <v>120.45</v>
      </c>
      <c r="D180" s="30">
        <v>117</v>
      </c>
      <c r="E180" s="40"/>
      <c r="F180" s="30">
        <f t="shared" si="10"/>
        <v>14367</v>
      </c>
      <c r="H180" s="7">
        <v>103.85</v>
      </c>
      <c r="I180" s="7"/>
      <c r="J180" s="7">
        <v>101.4</v>
      </c>
      <c r="K180" s="7"/>
      <c r="L180" s="7">
        <v>104.5</v>
      </c>
      <c r="M180" s="7">
        <v>88</v>
      </c>
      <c r="W180" s="63">
        <v>8.2638888888888887E-2</v>
      </c>
      <c r="X180" s="30">
        <v>104.5</v>
      </c>
      <c r="Y180" s="30">
        <v>144.05000000000001</v>
      </c>
    </row>
    <row r="181" spans="2:25" x14ac:dyDescent="0.3">
      <c r="B181" s="26">
        <f>B180+50</f>
        <v>14300</v>
      </c>
      <c r="C181" s="30">
        <v>94.9</v>
      </c>
      <c r="D181" s="23">
        <v>92.15</v>
      </c>
      <c r="E181" s="40"/>
      <c r="F181" s="77">
        <f t="shared" si="10"/>
        <v>14392.15</v>
      </c>
      <c r="H181" s="7">
        <v>80.75</v>
      </c>
      <c r="I181" s="7"/>
      <c r="J181" s="7">
        <v>78.7</v>
      </c>
      <c r="K181" s="7"/>
      <c r="L181" s="7">
        <v>80.8</v>
      </c>
      <c r="M181" s="7">
        <v>67</v>
      </c>
    </row>
    <row r="182" spans="2:25" x14ac:dyDescent="0.3">
      <c r="B182" s="72">
        <f>B181+50</f>
        <v>14350</v>
      </c>
      <c r="C182" s="61">
        <v>73.099999999999994</v>
      </c>
      <c r="D182" s="30">
        <v>71.5</v>
      </c>
      <c r="E182" s="40"/>
      <c r="F182" s="30">
        <f t="shared" si="10"/>
        <v>14421.5</v>
      </c>
      <c r="H182" s="7">
        <v>61</v>
      </c>
      <c r="I182" s="7"/>
      <c r="J182" s="7">
        <v>59.5</v>
      </c>
      <c r="K182" s="7"/>
      <c r="L182" s="7">
        <v>60.55</v>
      </c>
      <c r="M182" s="7">
        <v>49.95</v>
      </c>
      <c r="Q182" s="133" t="s">
        <v>72</v>
      </c>
      <c r="R182" s="134"/>
      <c r="S182" s="135"/>
      <c r="W182" s="34" t="s">
        <v>68</v>
      </c>
      <c r="X182" s="56" t="s">
        <v>69</v>
      </c>
      <c r="Y182" s="57" t="s">
        <v>70</v>
      </c>
    </row>
    <row r="183" spans="2:25" x14ac:dyDescent="0.3">
      <c r="B183" s="26">
        <f>B182+50</f>
        <v>14400</v>
      </c>
      <c r="C183" s="30">
        <v>54.95</v>
      </c>
      <c r="D183" s="30">
        <v>53.45</v>
      </c>
      <c r="E183" s="40"/>
      <c r="F183" s="30">
        <f t="shared" si="10"/>
        <v>14453.45</v>
      </c>
      <c r="H183" s="7">
        <v>45.1</v>
      </c>
      <c r="I183" s="7"/>
      <c r="J183" s="7">
        <v>44.4</v>
      </c>
      <c r="K183" s="7"/>
      <c r="L183" s="7">
        <v>44.7</v>
      </c>
      <c r="M183" s="7">
        <v>35.799999999999997</v>
      </c>
      <c r="Q183" s="30">
        <v>157.69999999999999</v>
      </c>
      <c r="R183" s="73">
        <v>75</v>
      </c>
      <c r="S183" s="30">
        <f>R183*Q183</f>
        <v>11827.5</v>
      </c>
      <c r="W183" s="63">
        <v>0.41597222222222219</v>
      </c>
      <c r="X183" s="30">
        <v>73.099999999999994</v>
      </c>
      <c r="Y183" s="30">
        <v>77.2</v>
      </c>
    </row>
    <row r="184" spans="2:25" x14ac:dyDescent="0.3">
      <c r="E184" s="40"/>
      <c r="H184" s="17"/>
      <c r="I184" s="17"/>
      <c r="J184" s="17"/>
      <c r="K184" s="76"/>
      <c r="L184" s="17"/>
      <c r="M184" s="17"/>
      <c r="Q184" s="30">
        <v>93.95</v>
      </c>
      <c r="R184" s="73">
        <v>75</v>
      </c>
      <c r="S184" s="30">
        <f>R184*Q184</f>
        <v>7046.25</v>
      </c>
      <c r="W184" s="63">
        <v>0.4368055555555555</v>
      </c>
      <c r="X184" s="30">
        <v>63</v>
      </c>
      <c r="Y184" s="30">
        <v>87.25</v>
      </c>
    </row>
    <row r="185" spans="2:25" x14ac:dyDescent="0.3">
      <c r="C185" s="64">
        <v>43844</v>
      </c>
      <c r="E185" s="40">
        <f>F185-(G185-F185)</f>
        <v>71.875</v>
      </c>
      <c r="F185" s="40">
        <f>AVERAGE(C191,C181)</f>
        <v>93.95</v>
      </c>
      <c r="G185" s="40">
        <f>AVERAGE(C180,C190)</f>
        <v>116.02500000000001</v>
      </c>
      <c r="H185" s="66">
        <v>0.45694444444444443</v>
      </c>
      <c r="I185" s="66"/>
      <c r="J185" s="66">
        <v>0.4597222222222222</v>
      </c>
      <c r="K185" s="66"/>
      <c r="L185" s="66">
        <v>8.3333333333333329E-2</v>
      </c>
      <c r="M185" s="66">
        <v>0.13472222222222222</v>
      </c>
      <c r="Q185" s="30"/>
      <c r="R185" s="73"/>
      <c r="S185" s="30">
        <f>R185*Q185</f>
        <v>0</v>
      </c>
      <c r="W185" s="63">
        <v>0.45763888888888887</v>
      </c>
      <c r="X185" s="30">
        <v>62.8</v>
      </c>
      <c r="Y185" s="30">
        <v>88.2</v>
      </c>
    </row>
    <row r="186" spans="2:25" x14ac:dyDescent="0.3">
      <c r="B186" s="34" t="s">
        <v>68</v>
      </c>
      <c r="C186" s="63">
        <v>0.41666666666666669</v>
      </c>
      <c r="D186" s="63">
        <v>0.41041666666666665</v>
      </c>
      <c r="E186" s="40"/>
      <c r="F186" s="40"/>
      <c r="H186" s="7">
        <v>14220</v>
      </c>
      <c r="I186" s="7"/>
      <c r="J186" s="23">
        <v>93.95</v>
      </c>
      <c r="K186" s="23"/>
      <c r="L186" s="7">
        <v>14234.15</v>
      </c>
      <c r="M186" s="7">
        <v>14190</v>
      </c>
      <c r="Q186" s="30">
        <f>S186/R186</f>
        <v>125.825</v>
      </c>
      <c r="R186" s="73">
        <f>SUM(R183:R185)</f>
        <v>150</v>
      </c>
      <c r="S186" s="30">
        <f>SUM(S183:S185)</f>
        <v>18873.75</v>
      </c>
      <c r="V186" s="40"/>
      <c r="W186" s="63">
        <v>0.47847222222222219</v>
      </c>
      <c r="X186" s="30">
        <v>63.1</v>
      </c>
      <c r="Y186" s="30">
        <v>87.1</v>
      </c>
    </row>
    <row r="187" spans="2:25" x14ac:dyDescent="0.3">
      <c r="B187" s="26">
        <f>B188+50</f>
        <v>14350</v>
      </c>
      <c r="C187" s="30">
        <v>185.1</v>
      </c>
      <c r="D187" s="30">
        <v>181.3</v>
      </c>
      <c r="E187" s="40"/>
      <c r="F187" s="30">
        <f t="shared" ref="F187:F192" si="11">B187-D187</f>
        <v>14168.7</v>
      </c>
      <c r="H187" s="7">
        <v>211.8</v>
      </c>
      <c r="I187" s="7"/>
      <c r="J187" s="7">
        <v>216.75</v>
      </c>
      <c r="K187" s="7"/>
      <c r="L187" s="7">
        <v>201.35</v>
      </c>
      <c r="M187" s="7">
        <v>230.1</v>
      </c>
      <c r="P187" s="50">
        <f>S192</f>
        <v>-896.25</v>
      </c>
      <c r="Q187" s="57" t="s">
        <v>72</v>
      </c>
      <c r="S187" s="57" t="s">
        <v>73</v>
      </c>
      <c r="T187" s="23">
        <f>((X183+Y183)-(X192+Y192))</f>
        <v>6.4000000000000057</v>
      </c>
      <c r="U187" s="23"/>
      <c r="V187" s="50">
        <f>T187*225</f>
        <v>1440.0000000000014</v>
      </c>
      <c r="W187" s="63">
        <v>0.4993055555555555</v>
      </c>
      <c r="X187" s="30">
        <v>60</v>
      </c>
      <c r="Y187" s="30">
        <v>85.65</v>
      </c>
    </row>
    <row r="188" spans="2:25" x14ac:dyDescent="0.3">
      <c r="B188" s="26">
        <f>B189+50</f>
        <v>14300</v>
      </c>
      <c r="C188" s="30">
        <v>158.25</v>
      </c>
      <c r="D188" s="30">
        <v>154.30000000000001</v>
      </c>
      <c r="E188" s="40"/>
      <c r="F188" s="30">
        <f t="shared" si="11"/>
        <v>14145.7</v>
      </c>
      <c r="H188" s="7">
        <v>180</v>
      </c>
      <c r="I188" s="7"/>
      <c r="J188" s="7">
        <v>187.3</v>
      </c>
      <c r="K188" s="7"/>
      <c r="L188" s="7">
        <v>171.45</v>
      </c>
      <c r="M188" s="7">
        <v>198.65</v>
      </c>
      <c r="Q188" s="30">
        <v>139.6</v>
      </c>
      <c r="R188" s="73">
        <v>75</v>
      </c>
      <c r="S188" s="30">
        <f>R188*Q188</f>
        <v>10470</v>
      </c>
      <c r="W188" s="63">
        <v>0.52013888888888882</v>
      </c>
      <c r="X188" s="30">
        <v>60.75</v>
      </c>
      <c r="Y188" s="30">
        <v>83.35</v>
      </c>
    </row>
    <row r="189" spans="2:25" x14ac:dyDescent="0.3">
      <c r="B189" s="26">
        <v>14250</v>
      </c>
      <c r="C189" s="30">
        <v>134</v>
      </c>
      <c r="D189" s="7">
        <v>129.9</v>
      </c>
      <c r="E189" s="40"/>
      <c r="F189" s="30">
        <f t="shared" si="11"/>
        <v>14120.1</v>
      </c>
      <c r="H189" s="7">
        <v>153.15</v>
      </c>
      <c r="I189" s="7"/>
      <c r="J189" s="7">
        <v>158.69999999999999</v>
      </c>
      <c r="K189" s="7"/>
      <c r="L189" s="7">
        <v>144.05000000000001</v>
      </c>
      <c r="M189" s="7">
        <v>170.4</v>
      </c>
      <c r="Q189" s="30">
        <v>100.1</v>
      </c>
      <c r="R189" s="73">
        <v>75</v>
      </c>
      <c r="S189" s="30">
        <f>R189*Q189</f>
        <v>7507.5</v>
      </c>
      <c r="T189" s="40"/>
      <c r="U189" s="40"/>
      <c r="V189" s="40"/>
      <c r="W189" s="63">
        <v>0.54097222222222219</v>
      </c>
      <c r="X189" s="30">
        <v>65.5</v>
      </c>
      <c r="Y189" s="30">
        <v>76.5</v>
      </c>
    </row>
    <row r="190" spans="2:25" x14ac:dyDescent="0.3">
      <c r="B190" s="26">
        <f>B189-50</f>
        <v>14200</v>
      </c>
      <c r="C190" s="30">
        <v>111.6</v>
      </c>
      <c r="D190" s="23">
        <v>107.75</v>
      </c>
      <c r="E190" s="40"/>
      <c r="F190" s="50">
        <f t="shared" si="11"/>
        <v>14092.25</v>
      </c>
      <c r="H190" s="7">
        <v>128.94999999999999</v>
      </c>
      <c r="I190" s="7"/>
      <c r="J190" s="7">
        <v>134.25</v>
      </c>
      <c r="K190" s="7"/>
      <c r="L190" s="7">
        <v>120.4</v>
      </c>
      <c r="M190" s="7">
        <v>143.1</v>
      </c>
      <c r="Q190" s="30"/>
      <c r="R190" s="73"/>
      <c r="S190" s="30">
        <f>R190*Q190</f>
        <v>0</v>
      </c>
      <c r="T190" s="40"/>
      <c r="U190" s="40"/>
      <c r="V190" s="40"/>
      <c r="W190" s="63">
        <v>6.1805555555555558E-2</v>
      </c>
      <c r="X190" s="30">
        <v>63.7</v>
      </c>
      <c r="Y190" s="30">
        <v>76.400000000000006</v>
      </c>
    </row>
    <row r="191" spans="2:25" x14ac:dyDescent="0.3">
      <c r="B191" s="72">
        <f>B190-50</f>
        <v>14150</v>
      </c>
      <c r="C191" s="30">
        <v>93</v>
      </c>
      <c r="D191" s="7">
        <v>90.75</v>
      </c>
      <c r="E191" s="40"/>
      <c r="F191" s="30">
        <f t="shared" si="11"/>
        <v>14059.25</v>
      </c>
      <c r="H191" s="7">
        <v>108.1</v>
      </c>
      <c r="I191" s="7"/>
      <c r="J191" s="7">
        <v>113</v>
      </c>
      <c r="K191" s="7"/>
      <c r="L191" s="7">
        <v>101</v>
      </c>
      <c r="M191" s="7">
        <v>120</v>
      </c>
      <c r="Q191" s="30">
        <f>S191/R191</f>
        <v>119.85</v>
      </c>
      <c r="R191" s="73">
        <f>SUM(R188:R190)</f>
        <v>150</v>
      </c>
      <c r="S191" s="30">
        <f>SUM(S188:S190)</f>
        <v>17977.5</v>
      </c>
      <c r="W191" s="63">
        <v>8.2638888888888887E-2</v>
      </c>
      <c r="X191" s="30">
        <v>60.55</v>
      </c>
      <c r="Y191" s="30">
        <v>82.55</v>
      </c>
    </row>
    <row r="192" spans="2:25" x14ac:dyDescent="0.3">
      <c r="B192" s="26">
        <f>B191-50</f>
        <v>14100</v>
      </c>
      <c r="C192" s="61">
        <v>77.2</v>
      </c>
      <c r="D192" s="30">
        <v>74.5</v>
      </c>
      <c r="E192" s="40"/>
      <c r="F192" s="30">
        <f t="shared" si="11"/>
        <v>14025.5</v>
      </c>
      <c r="H192" s="7">
        <v>90</v>
      </c>
      <c r="I192" s="7"/>
      <c r="J192" s="7">
        <v>94</v>
      </c>
      <c r="K192" s="7"/>
      <c r="L192" s="7">
        <v>82.55</v>
      </c>
      <c r="M192" s="7">
        <v>100.1</v>
      </c>
      <c r="Q192" s="136" t="e">
        <f>S192/(R186-R191)</f>
        <v>#DIV/0!</v>
      </c>
      <c r="R192" s="137"/>
      <c r="S192" s="30">
        <f>S191-S186</f>
        <v>-896.25</v>
      </c>
      <c r="W192" s="63">
        <v>0.13541666666666666</v>
      </c>
      <c r="X192" s="30">
        <v>49.95</v>
      </c>
      <c r="Y192" s="23">
        <v>93.95</v>
      </c>
    </row>
    <row r="199" spans="2:25" x14ac:dyDescent="0.3">
      <c r="J199" s="40"/>
    </row>
    <row r="200" spans="2:25" x14ac:dyDescent="0.3">
      <c r="J200" s="40"/>
    </row>
    <row r="204" spans="2:25" x14ac:dyDescent="0.3">
      <c r="B204" s="40"/>
      <c r="C204" s="50">
        <f>B205+E205</f>
        <v>14305.5</v>
      </c>
      <c r="D204" s="51">
        <f>C204+E205</f>
        <v>14345.5</v>
      </c>
      <c r="E204" s="21"/>
      <c r="F204" s="21"/>
      <c r="H204" s="52" t="str">
        <f>IF((C213-D213)&gt;(C222-D222),"LONG",IF(C222&gt;D220,"LONG","SHORT"))</f>
        <v>SHORT</v>
      </c>
      <c r="I204" s="138" t="s">
        <v>79</v>
      </c>
      <c r="J204" s="139"/>
      <c r="K204" s="140"/>
      <c r="L204" s="53">
        <f>AVERAGE(L205:L206)</f>
        <v>150.9</v>
      </c>
      <c r="Q204" s="54">
        <v>0.39166666666666666</v>
      </c>
      <c r="R204" s="54">
        <v>0.39861111111111108</v>
      </c>
      <c r="S204" s="54">
        <v>0.4055555555555555</v>
      </c>
      <c r="T204" s="54">
        <v>0.41250000000000003</v>
      </c>
      <c r="U204" s="55"/>
      <c r="W204" s="34" t="s">
        <v>68</v>
      </c>
      <c r="X204" s="56" t="s">
        <v>69</v>
      </c>
      <c r="Y204" s="57" t="s">
        <v>70</v>
      </c>
    </row>
    <row r="205" spans="2:25" x14ac:dyDescent="0.3">
      <c r="B205" s="50">
        <v>14265.5</v>
      </c>
      <c r="C205" s="40"/>
      <c r="D205" s="58"/>
      <c r="E205" s="59">
        <f>ROUND((((B205*F205%)/4)/10),0)*10</f>
        <v>40</v>
      </c>
      <c r="F205" s="51">
        <v>1.2</v>
      </c>
      <c r="H205" s="60" t="s">
        <v>69</v>
      </c>
      <c r="I205" s="61">
        <f>AVERAGE(C222,C211)</f>
        <v>125.1</v>
      </c>
      <c r="J205" s="61">
        <f>AVERAGE(C222,C212)</f>
        <v>110.25</v>
      </c>
      <c r="K205" s="61">
        <f>AVERAGE(C222,C213)</f>
        <v>97.75</v>
      </c>
      <c r="L205" s="61">
        <f>C211</f>
        <v>134.15</v>
      </c>
      <c r="Q205" s="51">
        <v>14256.5</v>
      </c>
      <c r="R205" s="51">
        <v>14274.05</v>
      </c>
      <c r="S205" s="51">
        <v>14262</v>
      </c>
      <c r="T205" s="51">
        <v>14267</v>
      </c>
      <c r="U205" s="62"/>
      <c r="W205" s="63">
        <v>0.41597222222222219</v>
      </c>
      <c r="X205" s="30">
        <v>79.45</v>
      </c>
      <c r="Y205" s="30">
        <v>116.05</v>
      </c>
    </row>
    <row r="206" spans="2:25" x14ac:dyDescent="0.3">
      <c r="B206" s="40"/>
      <c r="C206" s="50">
        <f>B205-E205</f>
        <v>14225.5</v>
      </c>
      <c r="D206" s="51">
        <f>C206-E205</f>
        <v>14185.5</v>
      </c>
      <c r="E206" s="21"/>
      <c r="F206" s="21"/>
      <c r="H206" s="60" t="s">
        <v>70</v>
      </c>
      <c r="I206" s="61">
        <f>AVERAGE(C213,C220)</f>
        <v>123.55000000000001</v>
      </c>
      <c r="J206" s="61">
        <f>AVERAGE(C213,C221)</f>
        <v>110.35</v>
      </c>
      <c r="K206" s="61">
        <f>AVERAGE(C213,C222)</f>
        <v>97.75</v>
      </c>
      <c r="L206" s="61">
        <f>C220</f>
        <v>167.65</v>
      </c>
      <c r="W206" s="63">
        <v>0.4368055555555555</v>
      </c>
      <c r="X206" s="30">
        <v>99.3</v>
      </c>
      <c r="Y206" s="30">
        <v>102.65</v>
      </c>
    </row>
    <row r="207" spans="2:25" x14ac:dyDescent="0.3">
      <c r="F207" s="40"/>
      <c r="G207" s="40"/>
      <c r="K207" s="40"/>
      <c r="W207" s="63">
        <v>0.45763888888888887</v>
      </c>
      <c r="X207" s="30">
        <v>103.65</v>
      </c>
      <c r="Y207" s="30">
        <v>101.9</v>
      </c>
    </row>
    <row r="208" spans="2:25" x14ac:dyDescent="0.3">
      <c r="B208" s="40"/>
      <c r="W208" s="63">
        <v>0.47847222222222219</v>
      </c>
      <c r="X208" s="30">
        <v>103.35</v>
      </c>
      <c r="Y208" s="30">
        <v>103.75</v>
      </c>
    </row>
    <row r="209" spans="2:25" x14ac:dyDescent="0.3">
      <c r="C209" s="64">
        <v>44204</v>
      </c>
      <c r="F209" s="30">
        <f>AVERAGE(F211,F220)</f>
        <v>14258.174999999999</v>
      </c>
      <c r="G209" s="65"/>
      <c r="H209" s="66"/>
      <c r="I209" s="66">
        <v>0.44166666666666665</v>
      </c>
      <c r="J209" s="66">
        <v>0.11041666666666666</v>
      </c>
      <c r="K209" s="66">
        <v>0.11458333333333333</v>
      </c>
      <c r="L209" s="66">
        <v>8.3333333333333329E-2</v>
      </c>
      <c r="M209" s="66">
        <v>0.13541666666666666</v>
      </c>
      <c r="Q209" s="132" t="s">
        <v>71</v>
      </c>
      <c r="R209" s="132"/>
      <c r="S209" s="132" t="s">
        <v>37</v>
      </c>
      <c r="T209" s="132"/>
      <c r="U209" s="69"/>
      <c r="W209" s="63">
        <v>0.4993055555555555</v>
      </c>
      <c r="X209" s="30">
        <v>111</v>
      </c>
      <c r="Y209" s="30">
        <v>100.15</v>
      </c>
    </row>
    <row r="210" spans="2:25" x14ac:dyDescent="0.3">
      <c r="B210" s="34" t="s">
        <v>68</v>
      </c>
      <c r="C210" s="63">
        <v>0.41666666666666669</v>
      </c>
      <c r="D210" s="63">
        <v>0.39166666666666666</v>
      </c>
      <c r="H210" s="23"/>
      <c r="I210" s="23">
        <v>60.4</v>
      </c>
      <c r="J210" s="7">
        <v>14347.45</v>
      </c>
      <c r="K210" s="23">
        <v>78.400000000000006</v>
      </c>
      <c r="L210" s="7">
        <v>14332</v>
      </c>
      <c r="M210" s="7">
        <v>14376.7</v>
      </c>
      <c r="Q210" s="61">
        <f>R210-(S210-R210)</f>
        <v>13847.300000000001</v>
      </c>
      <c r="R210" s="61">
        <v>14053.7</v>
      </c>
      <c r="S210" s="61">
        <v>14260.1</v>
      </c>
      <c r="T210" s="61">
        <f>S210+(S210-R210)</f>
        <v>14466.5</v>
      </c>
      <c r="U210" s="71"/>
      <c r="W210" s="63">
        <v>0.52013888888888882</v>
      </c>
      <c r="X210" s="30">
        <v>109.85</v>
      </c>
      <c r="Y210" s="30">
        <v>98.45</v>
      </c>
    </row>
    <row r="211" spans="2:25" x14ac:dyDescent="0.3">
      <c r="B211" s="26">
        <f>B212-50</f>
        <v>14200</v>
      </c>
      <c r="C211" s="30">
        <v>134.15</v>
      </c>
      <c r="D211" s="30">
        <v>129.05000000000001</v>
      </c>
      <c r="E211" s="40"/>
      <c r="F211" s="30">
        <f t="shared" ref="F211:F216" si="12">B211+D211</f>
        <v>14329.05</v>
      </c>
      <c r="H211" s="7"/>
      <c r="I211" s="7">
        <v>170.45</v>
      </c>
      <c r="J211" s="7">
        <v>182.2</v>
      </c>
      <c r="K211" s="7">
        <v>201.15</v>
      </c>
      <c r="L211" s="7">
        <v>172.6</v>
      </c>
      <c r="M211" s="7">
        <v>209.7</v>
      </c>
      <c r="R211" s="40"/>
      <c r="S211" s="40"/>
      <c r="W211" s="63">
        <v>0.54097222222222219</v>
      </c>
      <c r="X211" s="30">
        <v>108.75</v>
      </c>
      <c r="Y211" s="30">
        <v>97.95</v>
      </c>
    </row>
    <row r="212" spans="2:25" x14ac:dyDescent="0.3">
      <c r="B212" s="26">
        <f>B213-50</f>
        <v>14250</v>
      </c>
      <c r="C212" s="30">
        <v>104.45</v>
      </c>
      <c r="D212" s="30">
        <v>100.15</v>
      </c>
      <c r="E212" s="40"/>
      <c r="F212" s="30">
        <f t="shared" si="12"/>
        <v>14350.15</v>
      </c>
      <c r="H212" s="7"/>
      <c r="I212" s="7">
        <v>137.55000000000001</v>
      </c>
      <c r="J212" s="7">
        <v>148</v>
      </c>
      <c r="K212" s="7">
        <v>165.9</v>
      </c>
      <c r="L212" s="7">
        <v>139</v>
      </c>
      <c r="M212" s="7">
        <v>173.6</v>
      </c>
      <c r="W212" s="63">
        <v>6.1805555555555558E-2</v>
      </c>
      <c r="X212" s="30">
        <v>109.8</v>
      </c>
      <c r="Y212" s="30">
        <v>95.85</v>
      </c>
    </row>
    <row r="213" spans="2:25" x14ac:dyDescent="0.3">
      <c r="B213" s="26">
        <v>14300</v>
      </c>
      <c r="C213" s="30">
        <v>79.45</v>
      </c>
      <c r="D213" s="7">
        <v>75.900000000000006</v>
      </c>
      <c r="E213" s="40"/>
      <c r="F213" s="30">
        <f t="shared" si="12"/>
        <v>14375.9</v>
      </c>
      <c r="H213" s="7"/>
      <c r="I213" s="7">
        <v>108.95</v>
      </c>
      <c r="J213" s="7">
        <v>116.7</v>
      </c>
      <c r="K213" s="7">
        <v>132.65</v>
      </c>
      <c r="L213" s="7">
        <v>109.95</v>
      </c>
      <c r="M213" s="7">
        <v>140</v>
      </c>
      <c r="W213" s="63">
        <v>8.2638888888888887E-2</v>
      </c>
      <c r="X213" s="30">
        <v>109.95</v>
      </c>
      <c r="Y213" s="30">
        <v>92.1</v>
      </c>
    </row>
    <row r="214" spans="2:25" x14ac:dyDescent="0.3">
      <c r="B214" s="26">
        <f>B213+50</f>
        <v>14350</v>
      </c>
      <c r="C214" s="30">
        <v>58.1</v>
      </c>
      <c r="D214" s="23">
        <v>55.6</v>
      </c>
      <c r="E214" s="40"/>
      <c r="F214" s="50">
        <f t="shared" si="12"/>
        <v>14405.6</v>
      </c>
      <c r="H214" s="7"/>
      <c r="I214" s="7">
        <v>83</v>
      </c>
      <c r="J214" s="7">
        <v>88.35</v>
      </c>
      <c r="K214" s="7">
        <v>103.15</v>
      </c>
      <c r="L214" s="7">
        <v>836</v>
      </c>
      <c r="M214" s="7">
        <v>109.1</v>
      </c>
    </row>
    <row r="215" spans="2:25" x14ac:dyDescent="0.3">
      <c r="B215" s="72">
        <f>B214+50</f>
        <v>14400</v>
      </c>
      <c r="C215" s="51">
        <v>41.2</v>
      </c>
      <c r="D215" s="30">
        <v>39.6</v>
      </c>
      <c r="E215" s="40"/>
      <c r="F215" s="30">
        <f t="shared" si="12"/>
        <v>14439.6</v>
      </c>
      <c r="H215" s="7"/>
      <c r="I215" s="7">
        <v>61.75</v>
      </c>
      <c r="J215" s="7">
        <v>65.25</v>
      </c>
      <c r="K215" s="7">
        <v>78.2</v>
      </c>
      <c r="L215" s="7">
        <v>61.7</v>
      </c>
      <c r="M215" s="7">
        <v>83.25</v>
      </c>
      <c r="Q215" s="133" t="s">
        <v>72</v>
      </c>
      <c r="R215" s="134"/>
      <c r="S215" s="135"/>
      <c r="W215" s="34" t="s">
        <v>68</v>
      </c>
      <c r="X215" s="56" t="s">
        <v>69</v>
      </c>
      <c r="Y215" s="57" t="s">
        <v>70</v>
      </c>
    </row>
    <row r="216" spans="2:25" x14ac:dyDescent="0.3">
      <c r="B216" s="26">
        <f>B215+50</f>
        <v>14450</v>
      </c>
      <c r="C216" s="30">
        <v>28.35</v>
      </c>
      <c r="D216" s="30">
        <v>27.2</v>
      </c>
      <c r="E216" s="40"/>
      <c r="F216" s="30">
        <f t="shared" si="12"/>
        <v>14477.2</v>
      </c>
      <c r="H216" s="7"/>
      <c r="I216" s="7">
        <v>44.2</v>
      </c>
      <c r="J216" s="7">
        <v>45.8</v>
      </c>
      <c r="K216" s="7">
        <v>56.8</v>
      </c>
      <c r="L216" s="7">
        <v>43.75</v>
      </c>
      <c r="M216" s="7">
        <v>60.7</v>
      </c>
      <c r="Q216" s="30">
        <v>61.75</v>
      </c>
      <c r="R216" s="73">
        <v>150</v>
      </c>
      <c r="S216" s="30">
        <f>R216*Q216</f>
        <v>9262.5</v>
      </c>
      <c r="W216" s="63">
        <v>0.41597222222222219</v>
      </c>
      <c r="X216" s="30">
        <v>41.2</v>
      </c>
      <c r="Y216" s="30">
        <v>77.5</v>
      </c>
    </row>
    <row r="217" spans="2:25" x14ac:dyDescent="0.3">
      <c r="D217" s="40"/>
      <c r="E217" s="40">
        <f>F217-(G217-F217)</f>
        <v>42.325000000000017</v>
      </c>
      <c r="F217" s="40">
        <f>AVERAGE(C214,C225)</f>
        <v>60.400000000000006</v>
      </c>
      <c r="G217" s="40">
        <f>AVERAGE(C213,C224)</f>
        <v>78.474999999999994</v>
      </c>
      <c r="H217" s="17"/>
      <c r="I217" s="17"/>
      <c r="J217" s="17"/>
      <c r="K217" s="76"/>
      <c r="L217" s="17"/>
      <c r="M217" s="17"/>
      <c r="Q217" s="30">
        <v>51.3</v>
      </c>
      <c r="R217" s="73">
        <v>150</v>
      </c>
      <c r="S217" s="30">
        <f>R217*Q217</f>
        <v>7695</v>
      </c>
      <c r="W217" s="63">
        <v>0.4368055555555555</v>
      </c>
      <c r="X217" s="30">
        <v>54.8</v>
      </c>
      <c r="Y217" s="30">
        <v>69.05</v>
      </c>
    </row>
    <row r="218" spans="2:25" x14ac:dyDescent="0.3">
      <c r="C218" s="64">
        <v>43844</v>
      </c>
      <c r="E218" s="40"/>
      <c r="F218" s="40"/>
      <c r="G218" s="40"/>
      <c r="H218" s="66"/>
      <c r="I218" s="66">
        <v>0.44166666666666665</v>
      </c>
      <c r="J218" s="66">
        <v>0.11041666666666666</v>
      </c>
      <c r="K218" s="66">
        <v>0.11458333333333333</v>
      </c>
      <c r="L218" s="66">
        <v>8.3333333333333329E-2</v>
      </c>
      <c r="M218" s="66">
        <v>0.13541666666666666</v>
      </c>
      <c r="Q218" s="30"/>
      <c r="R218" s="73"/>
      <c r="S218" s="30">
        <f>R218*Q218</f>
        <v>0</v>
      </c>
      <c r="W218" s="63">
        <v>0.45763888888888887</v>
      </c>
      <c r="X218" s="30">
        <v>58.45</v>
      </c>
      <c r="Y218" s="30">
        <v>69.150000000000006</v>
      </c>
    </row>
    <row r="219" spans="2:25" x14ac:dyDescent="0.3">
      <c r="B219" s="34" t="s">
        <v>68</v>
      </c>
      <c r="C219" s="63">
        <v>0.41666666666666669</v>
      </c>
      <c r="D219" s="63">
        <v>0.3979166666666667</v>
      </c>
      <c r="E219" s="40">
        <f>F219-(G219-F219)</f>
        <v>49.099999999999994</v>
      </c>
      <c r="F219" s="40">
        <f>AVERAGE(C223,C213)</f>
        <v>87.1</v>
      </c>
      <c r="G219" s="40">
        <f>AVERAGE(C222,C211)</f>
        <v>125.1</v>
      </c>
      <c r="H219" s="7"/>
      <c r="I219" s="7">
        <v>14319.2</v>
      </c>
      <c r="J219" s="23">
        <v>56.6</v>
      </c>
      <c r="K219" s="7">
        <v>14368.3</v>
      </c>
      <c r="L219" s="7">
        <v>14332</v>
      </c>
      <c r="M219" s="7">
        <v>14376.7</v>
      </c>
      <c r="Q219" s="30">
        <f>S219/R219</f>
        <v>56.524999999999999</v>
      </c>
      <c r="R219" s="73">
        <f>SUM(R216:R218)</f>
        <v>300</v>
      </c>
      <c r="S219" s="30">
        <f>SUM(S216:S218)</f>
        <v>16957.5</v>
      </c>
      <c r="V219" s="40"/>
      <c r="W219" s="63">
        <v>0.47847222222222219</v>
      </c>
      <c r="X219" s="30">
        <v>58.2</v>
      </c>
      <c r="Y219" s="30">
        <v>70.05</v>
      </c>
    </row>
    <row r="220" spans="2:25" x14ac:dyDescent="0.3">
      <c r="B220" s="26">
        <f>B221+50</f>
        <v>14350</v>
      </c>
      <c r="C220" s="30">
        <v>167.65</v>
      </c>
      <c r="D220" s="30">
        <v>162.69999999999999</v>
      </c>
      <c r="E220" s="40"/>
      <c r="F220" s="30">
        <f t="shared" ref="F220:F225" si="13">B220-D220</f>
        <v>14187.3</v>
      </c>
      <c r="H220" s="7"/>
      <c r="I220" s="7">
        <v>146.6</v>
      </c>
      <c r="J220" s="7">
        <v>126.05</v>
      </c>
      <c r="K220" s="7">
        <v>118.55</v>
      </c>
      <c r="L220" s="7">
        <v>136.75</v>
      </c>
      <c r="M220" s="7">
        <v>113.35</v>
      </c>
      <c r="P220" s="50">
        <f>S225</f>
        <v>6562.5</v>
      </c>
      <c r="Q220" s="57" t="s">
        <v>72</v>
      </c>
      <c r="S220" s="57" t="s">
        <v>73</v>
      </c>
      <c r="T220" s="23">
        <f>((X216+Y216)-(X225+Y225))</f>
        <v>1.7000000000000028</v>
      </c>
      <c r="U220" s="23"/>
      <c r="V220" s="50">
        <f>T220*225</f>
        <v>382.50000000000063</v>
      </c>
      <c r="W220" s="63">
        <v>0.4993055555555555</v>
      </c>
      <c r="X220" s="30">
        <v>63.4</v>
      </c>
      <c r="Y220" s="30">
        <v>66.849999999999994</v>
      </c>
    </row>
    <row r="221" spans="2:25" x14ac:dyDescent="0.3">
      <c r="B221" s="26">
        <f>B222+50</f>
        <v>14300</v>
      </c>
      <c r="C221" s="30">
        <v>141.25</v>
      </c>
      <c r="D221" s="30">
        <v>134.35</v>
      </c>
      <c r="E221" s="40"/>
      <c r="F221" s="30">
        <f t="shared" si="13"/>
        <v>14165.65</v>
      </c>
      <c r="H221" s="7"/>
      <c r="I221" s="7">
        <v>122.1</v>
      </c>
      <c r="J221" s="7">
        <v>103.65</v>
      </c>
      <c r="K221" s="7">
        <v>97.55</v>
      </c>
      <c r="L221" s="7">
        <v>112.5</v>
      </c>
      <c r="M221" s="7">
        <v>93.75</v>
      </c>
      <c r="Q221" s="30">
        <v>78.400000000000006</v>
      </c>
      <c r="R221" s="73">
        <v>150</v>
      </c>
      <c r="S221" s="30">
        <f>R221*Q221</f>
        <v>11760</v>
      </c>
      <c r="W221" s="63">
        <v>0.52013888888888882</v>
      </c>
      <c r="X221" s="30">
        <v>62.2</v>
      </c>
      <c r="Y221" s="30">
        <v>67</v>
      </c>
    </row>
    <row r="222" spans="2:25" x14ac:dyDescent="0.3">
      <c r="B222" s="26">
        <v>14250</v>
      </c>
      <c r="C222" s="30">
        <v>116.05</v>
      </c>
      <c r="D222" s="7">
        <v>110.55</v>
      </c>
      <c r="E222" s="40"/>
      <c r="F222" s="30">
        <f t="shared" si="13"/>
        <v>14139.45</v>
      </c>
      <c r="H222" s="7"/>
      <c r="I222" s="7">
        <v>101.4</v>
      </c>
      <c r="J222" s="7">
        <v>85.4</v>
      </c>
      <c r="K222" s="7">
        <v>80.7</v>
      </c>
      <c r="L222" s="7">
        <v>92.1</v>
      </c>
      <c r="M222" s="7">
        <v>77.099999999999994</v>
      </c>
      <c r="Q222" s="30">
        <v>78.400000000000006</v>
      </c>
      <c r="R222" s="73">
        <v>150</v>
      </c>
      <c r="S222" s="30">
        <f>R222*Q222</f>
        <v>11760</v>
      </c>
      <c r="T222" s="40"/>
      <c r="U222" s="40"/>
      <c r="V222" s="40"/>
      <c r="W222" s="63">
        <v>0.54097222222222219</v>
      </c>
      <c r="X222" s="30">
        <v>61.05</v>
      </c>
      <c r="Y222" s="30">
        <v>66.2</v>
      </c>
    </row>
    <row r="223" spans="2:25" x14ac:dyDescent="0.3">
      <c r="B223" s="26">
        <f>B222-50</f>
        <v>14200</v>
      </c>
      <c r="C223" s="30">
        <v>94.75</v>
      </c>
      <c r="D223" s="23">
        <v>90.05</v>
      </c>
      <c r="E223" s="40"/>
      <c r="F223" s="50">
        <f t="shared" si="13"/>
        <v>14109.95</v>
      </c>
      <c r="H223" s="7"/>
      <c r="I223" s="7">
        <v>83.5</v>
      </c>
      <c r="J223" s="7">
        <v>69.55</v>
      </c>
      <c r="K223" s="7">
        <v>66.400000000000006</v>
      </c>
      <c r="L223" s="7">
        <v>74.900000000000006</v>
      </c>
      <c r="M223" s="7">
        <v>63.15</v>
      </c>
      <c r="Q223" s="30"/>
      <c r="R223" s="73"/>
      <c r="S223" s="30">
        <f>R223*Q223</f>
        <v>0</v>
      </c>
      <c r="T223" s="40"/>
      <c r="U223" s="40"/>
      <c r="V223" s="40"/>
      <c r="W223" s="63">
        <v>6.1805555555555558E-2</v>
      </c>
      <c r="X223" s="30">
        <v>61.95</v>
      </c>
      <c r="Y223" s="30">
        <v>64.7</v>
      </c>
    </row>
    <row r="224" spans="2:25" x14ac:dyDescent="0.3">
      <c r="B224" s="72">
        <f>B223-50</f>
        <v>14150</v>
      </c>
      <c r="C224" s="51">
        <v>77.5</v>
      </c>
      <c r="D224" s="7">
        <v>73</v>
      </c>
      <c r="E224" s="40"/>
      <c r="F224" s="30">
        <f t="shared" si="13"/>
        <v>14077</v>
      </c>
      <c r="H224" s="7"/>
      <c r="I224" s="7">
        <v>68.849999999999994</v>
      </c>
      <c r="J224" s="7">
        <v>56.85</v>
      </c>
      <c r="K224" s="7">
        <v>54.95</v>
      </c>
      <c r="L224" s="7">
        <v>60.75</v>
      </c>
      <c r="M224" s="7">
        <v>52.05</v>
      </c>
      <c r="Q224" s="30">
        <f>S224/R224</f>
        <v>78.400000000000006</v>
      </c>
      <c r="R224" s="73">
        <f>SUM(R221:R223)</f>
        <v>300</v>
      </c>
      <c r="S224" s="30">
        <f>SUM(S221:S223)</f>
        <v>23520</v>
      </c>
      <c r="W224" s="63">
        <v>8.2638888888888887E-2</v>
      </c>
      <c r="X224" s="30">
        <v>61.7</v>
      </c>
      <c r="Y224" s="30">
        <v>60.75</v>
      </c>
    </row>
    <row r="225" spans="2:25" x14ac:dyDescent="0.3">
      <c r="B225" s="26">
        <f>B224-50</f>
        <v>14100</v>
      </c>
      <c r="C225" s="30">
        <v>62.7</v>
      </c>
      <c r="D225" s="30">
        <v>58.6</v>
      </c>
      <c r="E225" s="40"/>
      <c r="F225" s="30">
        <f t="shared" si="13"/>
        <v>14041.4</v>
      </c>
      <c r="H225" s="7"/>
      <c r="I225" s="7">
        <v>56.6</v>
      </c>
      <c r="J225" s="7">
        <v>46.6</v>
      </c>
      <c r="K225" s="7">
        <v>45.1</v>
      </c>
      <c r="L225" s="7">
        <v>49.8</v>
      </c>
      <c r="M225" s="7">
        <v>43.75</v>
      </c>
      <c r="Q225" s="136" t="e">
        <f>S225/(R219-R224)</f>
        <v>#DIV/0!</v>
      </c>
      <c r="R225" s="137"/>
      <c r="S225" s="30">
        <f>S224-S219</f>
        <v>6562.5</v>
      </c>
      <c r="W225" s="63">
        <v>0.44166666666666665</v>
      </c>
      <c r="X225" s="23">
        <v>60.4</v>
      </c>
      <c r="Y225" s="30">
        <v>56.6</v>
      </c>
    </row>
    <row r="237" spans="2:25" x14ac:dyDescent="0.3">
      <c r="B237" s="40"/>
      <c r="C237" s="50">
        <f>B238+E238</f>
        <v>14525.75</v>
      </c>
      <c r="D237" s="51">
        <f>C237+E238</f>
        <v>14565.75</v>
      </c>
      <c r="E237" s="21"/>
      <c r="F237" s="21"/>
      <c r="H237" s="52" t="str">
        <f>IF((C246-D246)&gt;(C255-D255),"LONG",IF(C255&gt;D253,"LONG","SHORT"))</f>
        <v>LONG</v>
      </c>
      <c r="I237" s="138"/>
      <c r="J237" s="139"/>
      <c r="K237" s="140"/>
      <c r="L237" s="53">
        <f>AVERAGE(L238:L239)</f>
        <v>147.39999999999998</v>
      </c>
      <c r="Q237" s="54">
        <v>0.39166666666666666</v>
      </c>
      <c r="R237" s="54">
        <v>0.39861111111111108</v>
      </c>
      <c r="S237" s="54">
        <v>0.4055555555555555</v>
      </c>
      <c r="T237" s="54">
        <v>0.41250000000000003</v>
      </c>
      <c r="U237" s="55"/>
      <c r="W237" s="34" t="s">
        <v>68</v>
      </c>
      <c r="X237" s="56" t="s">
        <v>69</v>
      </c>
      <c r="Y237" s="57" t="s">
        <v>70</v>
      </c>
    </row>
    <row r="238" spans="2:25" x14ac:dyDescent="0.3">
      <c r="B238" s="50">
        <v>14485.75</v>
      </c>
      <c r="C238" s="40"/>
      <c r="D238" s="58"/>
      <c r="E238" s="59">
        <f>ROUND((((B238*F238%)/4)/10),0)*10</f>
        <v>40</v>
      </c>
      <c r="F238" s="51">
        <v>1.21</v>
      </c>
      <c r="H238" s="60" t="s">
        <v>69</v>
      </c>
      <c r="I238" s="61">
        <f>AVERAGE(C255,C244)</f>
        <v>122.97499999999999</v>
      </c>
      <c r="J238" s="61">
        <f>AVERAGE(C255,C245)</f>
        <v>107.55</v>
      </c>
      <c r="K238" s="61">
        <f>AVERAGE(C255,C246)</f>
        <v>93.724999999999994</v>
      </c>
      <c r="L238" s="61">
        <f>C244</f>
        <v>141.1</v>
      </c>
      <c r="Q238" s="51"/>
      <c r="R238" s="51"/>
      <c r="S238" s="51"/>
      <c r="T238" s="51"/>
      <c r="U238" s="62"/>
      <c r="W238" s="63">
        <v>0.41597222222222219</v>
      </c>
      <c r="X238" s="30">
        <v>82.6</v>
      </c>
      <c r="Y238" s="30">
        <v>104.85</v>
      </c>
    </row>
    <row r="239" spans="2:25" x14ac:dyDescent="0.3">
      <c r="B239" s="40"/>
      <c r="C239" s="50">
        <f>B238-E238</f>
        <v>14445.75</v>
      </c>
      <c r="D239" s="51">
        <f>C239-E238</f>
        <v>14405.75</v>
      </c>
      <c r="E239" s="21"/>
      <c r="F239" s="21"/>
      <c r="H239" s="60" t="s">
        <v>70</v>
      </c>
      <c r="I239" s="61">
        <f>AVERAGE(C246,C253)</f>
        <v>118.14999999999999</v>
      </c>
      <c r="J239" s="61">
        <f>AVERAGE(C246,C254)</f>
        <v>105.15</v>
      </c>
      <c r="K239" s="61">
        <f>AVERAGE(C246,C255)</f>
        <v>93.724999999999994</v>
      </c>
      <c r="L239" s="61">
        <f>C253</f>
        <v>153.69999999999999</v>
      </c>
      <c r="W239" s="63">
        <v>0.4368055555555555</v>
      </c>
      <c r="X239" s="30">
        <v>61.45</v>
      </c>
      <c r="Y239" s="30">
        <v>134.80000000000001</v>
      </c>
    </row>
    <row r="240" spans="2:25" x14ac:dyDescent="0.3">
      <c r="F240" s="40"/>
      <c r="G240" s="40"/>
      <c r="K240" s="40"/>
      <c r="W240" s="63">
        <v>0.45763888888888887</v>
      </c>
      <c r="X240" s="30">
        <v>64.849999999999994</v>
      </c>
      <c r="Y240" s="30">
        <v>122.95</v>
      </c>
    </row>
    <row r="241" spans="2:25" x14ac:dyDescent="0.3">
      <c r="B241" s="40"/>
      <c r="W241" s="63">
        <v>0.47847222222222219</v>
      </c>
      <c r="X241" s="30">
        <v>66.900000000000006</v>
      </c>
      <c r="Y241" s="30">
        <v>119.85</v>
      </c>
    </row>
    <row r="242" spans="2:25" x14ac:dyDescent="0.3">
      <c r="C242" s="64">
        <v>44207</v>
      </c>
      <c r="F242" s="30">
        <f>AVERAGE(F244,F253)</f>
        <v>14442.575000000001</v>
      </c>
      <c r="G242" s="65"/>
      <c r="H242" s="66">
        <v>0.4284722222222222</v>
      </c>
      <c r="I242" s="66">
        <v>0.10416666666666667</v>
      </c>
      <c r="J242" s="66"/>
      <c r="K242" s="66"/>
      <c r="L242" s="66"/>
      <c r="M242" s="67">
        <v>0.13541666666666666</v>
      </c>
      <c r="Q242" s="132" t="s">
        <v>71</v>
      </c>
      <c r="R242" s="132"/>
      <c r="S242" s="132" t="s">
        <v>37</v>
      </c>
      <c r="T242" s="132"/>
      <c r="U242" s="69"/>
      <c r="W242" s="63">
        <v>0.4993055555555555</v>
      </c>
      <c r="X242" s="30">
        <v>62.25</v>
      </c>
      <c r="Y242" s="30">
        <v>132.55000000000001</v>
      </c>
    </row>
    <row r="243" spans="2:25" x14ac:dyDescent="0.3">
      <c r="B243" s="34" t="s">
        <v>68</v>
      </c>
      <c r="C243" s="63">
        <v>0.41666666666666669</v>
      </c>
      <c r="D243" s="63">
        <v>0.38611111111111113</v>
      </c>
      <c r="H243" s="7">
        <v>14444</v>
      </c>
      <c r="I243" s="7">
        <v>14487.45</v>
      </c>
      <c r="J243" s="7"/>
      <c r="K243" s="7"/>
      <c r="L243" s="7"/>
      <c r="M243" s="7">
        <v>14487</v>
      </c>
      <c r="Q243" s="61">
        <f>R243-(S243-R243)</f>
        <v>13868.400000000001</v>
      </c>
      <c r="R243" s="61">
        <v>14106.95</v>
      </c>
      <c r="S243" s="61">
        <v>14345.5</v>
      </c>
      <c r="T243" s="61">
        <f>S243+(S243-R243)</f>
        <v>14584.05</v>
      </c>
      <c r="U243" s="71"/>
      <c r="W243" s="63">
        <v>0.52013888888888882</v>
      </c>
      <c r="X243" s="30">
        <v>64.599999999999994</v>
      </c>
      <c r="Y243" s="30">
        <v>122.35</v>
      </c>
    </row>
    <row r="244" spans="2:25" x14ac:dyDescent="0.3">
      <c r="B244" s="26">
        <f>B245-50</f>
        <v>14400</v>
      </c>
      <c r="C244" s="30">
        <v>141.1</v>
      </c>
      <c r="D244" s="30">
        <v>88.15</v>
      </c>
      <c r="E244" s="40"/>
      <c r="F244" s="30">
        <f t="shared" ref="F244:F249" si="14">B244+D244</f>
        <v>14488.15</v>
      </c>
      <c r="H244" s="7">
        <v>117.55</v>
      </c>
      <c r="I244" s="7">
        <v>133.30000000000001</v>
      </c>
      <c r="J244" s="7"/>
      <c r="K244" s="7"/>
      <c r="L244" s="7"/>
      <c r="M244" s="7">
        <v>133.85</v>
      </c>
      <c r="R244" s="40"/>
      <c r="S244" s="40"/>
      <c r="W244" s="63">
        <v>0.54097222222222219</v>
      </c>
      <c r="X244" s="30">
        <v>65.7</v>
      </c>
      <c r="Y244" s="30">
        <v>117.55</v>
      </c>
    </row>
    <row r="245" spans="2:25" x14ac:dyDescent="0.3">
      <c r="B245" s="26">
        <f>B246-50</f>
        <v>14450</v>
      </c>
      <c r="C245" s="30">
        <v>110.25</v>
      </c>
      <c r="D245" s="30">
        <v>70</v>
      </c>
      <c r="E245" s="40"/>
      <c r="F245" s="30">
        <f t="shared" si="14"/>
        <v>14520</v>
      </c>
      <c r="H245" s="7">
        <v>89.65</v>
      </c>
      <c r="I245" s="7">
        <v>102.2</v>
      </c>
      <c r="J245" s="7"/>
      <c r="K245" s="7"/>
      <c r="L245" s="7"/>
      <c r="M245" s="7">
        <v>102.3</v>
      </c>
      <c r="W245" s="63">
        <v>6.1805555555555558E-2</v>
      </c>
      <c r="X245" s="30">
        <v>68.900000000000006</v>
      </c>
      <c r="Y245" s="30">
        <v>111.25</v>
      </c>
    </row>
    <row r="246" spans="2:25" x14ac:dyDescent="0.3">
      <c r="B246" s="26">
        <v>14500</v>
      </c>
      <c r="C246" s="30">
        <v>82.6</v>
      </c>
      <c r="D246" s="30">
        <v>50.05</v>
      </c>
      <c r="E246" s="40"/>
      <c r="F246" s="30">
        <f t="shared" si="14"/>
        <v>14550.05</v>
      </c>
      <c r="H246" s="7">
        <v>65.599999999999994</v>
      </c>
      <c r="I246" s="7">
        <v>75.150000000000006</v>
      </c>
      <c r="J246" s="7"/>
      <c r="K246" s="7"/>
      <c r="L246" s="7"/>
      <c r="M246" s="7">
        <v>74.95</v>
      </c>
      <c r="W246" s="63">
        <v>8.2638888888888887E-2</v>
      </c>
      <c r="X246" s="30">
        <v>69.25</v>
      </c>
      <c r="Y246" s="30">
        <v>107</v>
      </c>
    </row>
    <row r="247" spans="2:25" x14ac:dyDescent="0.3">
      <c r="B247" s="26">
        <f>B246+50</f>
        <v>14550</v>
      </c>
      <c r="C247" s="61">
        <v>59.35</v>
      </c>
      <c r="D247" s="23">
        <v>33</v>
      </c>
      <c r="E247" s="40"/>
      <c r="F247" s="50">
        <f t="shared" si="14"/>
        <v>14583</v>
      </c>
      <c r="H247" s="7">
        <v>46.1</v>
      </c>
      <c r="I247" s="7">
        <v>52.4</v>
      </c>
      <c r="J247" s="7"/>
      <c r="K247" s="7"/>
      <c r="L247" s="7"/>
      <c r="M247" s="7">
        <v>52.35</v>
      </c>
    </row>
    <row r="248" spans="2:25" x14ac:dyDescent="0.3">
      <c r="B248" s="72">
        <f>B247+50</f>
        <v>14600</v>
      </c>
      <c r="C248" s="30">
        <v>41.25</v>
      </c>
      <c r="D248" s="30">
        <v>22.9</v>
      </c>
      <c r="E248" s="40"/>
      <c r="F248" s="30">
        <f t="shared" si="14"/>
        <v>14622.9</v>
      </c>
      <c r="H248" s="7">
        <v>31</v>
      </c>
      <c r="I248" s="7">
        <v>35</v>
      </c>
      <c r="J248" s="7"/>
      <c r="K248" s="7"/>
      <c r="L248" s="7"/>
      <c r="M248" s="7">
        <v>35.25</v>
      </c>
      <c r="Q248" s="133" t="s">
        <v>72</v>
      </c>
      <c r="R248" s="134"/>
      <c r="S248" s="135"/>
      <c r="W248" s="34" t="s">
        <v>68</v>
      </c>
      <c r="X248" s="56" t="s">
        <v>69</v>
      </c>
      <c r="Y248" s="57" t="s">
        <v>70</v>
      </c>
    </row>
    <row r="249" spans="2:25" x14ac:dyDescent="0.3">
      <c r="B249" s="26">
        <f>B248+50</f>
        <v>14650</v>
      </c>
      <c r="C249" s="30">
        <v>27.1</v>
      </c>
      <c r="D249" s="30">
        <v>13.5</v>
      </c>
      <c r="E249" s="40"/>
      <c r="F249" s="30">
        <f t="shared" si="14"/>
        <v>14663.5</v>
      </c>
      <c r="H249" s="7">
        <v>20.05</v>
      </c>
      <c r="I249" s="7">
        <v>22.35</v>
      </c>
      <c r="J249" s="7"/>
      <c r="K249" s="7"/>
      <c r="L249" s="7"/>
      <c r="M249" s="7">
        <v>22.3</v>
      </c>
      <c r="Q249" s="30">
        <v>84.1</v>
      </c>
      <c r="R249" s="73">
        <v>150</v>
      </c>
      <c r="S249" s="30">
        <f>R249*Q249</f>
        <v>12615</v>
      </c>
      <c r="W249" s="63">
        <v>0.41597222222222219</v>
      </c>
      <c r="X249" s="30">
        <v>59.35</v>
      </c>
      <c r="Y249" s="30">
        <v>70.45</v>
      </c>
    </row>
    <row r="250" spans="2:25" x14ac:dyDescent="0.3">
      <c r="F250" s="40">
        <f>AVERAGE(E251,F251)</f>
        <v>72.487499999999997</v>
      </c>
      <c r="H250" s="17"/>
      <c r="I250" s="17"/>
      <c r="J250" s="17"/>
      <c r="K250" s="76"/>
      <c r="L250" s="17"/>
      <c r="M250" s="17"/>
      <c r="Q250" s="30">
        <v>72.400000000000006</v>
      </c>
      <c r="R250" s="73">
        <v>150</v>
      </c>
      <c r="S250" s="30">
        <f>R250*Q250</f>
        <v>10860</v>
      </c>
      <c r="W250" s="63">
        <v>0.4368055555555555</v>
      </c>
      <c r="X250" s="30">
        <v>43.1</v>
      </c>
      <c r="Y250" s="30">
        <v>91.05</v>
      </c>
    </row>
    <row r="251" spans="2:25" x14ac:dyDescent="0.3">
      <c r="C251" s="64">
        <v>43844</v>
      </c>
      <c r="E251" s="40">
        <f>F251-(G251-F251)</f>
        <v>60.8</v>
      </c>
      <c r="F251" s="40">
        <f>AVERAGE(C256,C246)</f>
        <v>84.174999999999997</v>
      </c>
      <c r="G251" s="40">
        <f>AVERAGE(C255,C245)</f>
        <v>107.55</v>
      </c>
      <c r="H251" s="66">
        <v>0.4284722222222222</v>
      </c>
      <c r="I251" s="66">
        <v>0.10416666666666667</v>
      </c>
      <c r="J251" s="66"/>
      <c r="K251" s="66"/>
      <c r="L251" s="66"/>
      <c r="M251" s="66">
        <v>0.13541666666666666</v>
      </c>
      <c r="Q251" s="30">
        <v>66.599999999999994</v>
      </c>
      <c r="R251" s="73">
        <v>150</v>
      </c>
      <c r="S251" s="30">
        <f>R251*Q251</f>
        <v>9990</v>
      </c>
      <c r="W251" s="63">
        <v>0.45763888888888887</v>
      </c>
      <c r="X251" s="30">
        <v>45.25</v>
      </c>
      <c r="Y251" s="30">
        <v>81.650000000000006</v>
      </c>
    </row>
    <row r="252" spans="2:25" x14ac:dyDescent="0.3">
      <c r="B252" s="34" t="s">
        <v>68</v>
      </c>
      <c r="C252" s="63">
        <v>0.41666666666666669</v>
      </c>
      <c r="D252" s="63">
        <v>0.4145833333333333</v>
      </c>
      <c r="H252" s="23">
        <v>84.1</v>
      </c>
      <c r="I252" s="23">
        <v>60.8</v>
      </c>
      <c r="J252" s="23"/>
      <c r="K252" s="7"/>
      <c r="L252" s="7"/>
      <c r="M252" s="7">
        <v>14487</v>
      </c>
      <c r="Q252" s="30">
        <f>S252/R252</f>
        <v>74.36666666666666</v>
      </c>
      <c r="R252" s="73">
        <f>SUM(R249:R251)</f>
        <v>450</v>
      </c>
      <c r="S252" s="30">
        <f>SUM(S249:S251)</f>
        <v>33465</v>
      </c>
      <c r="V252" s="40"/>
      <c r="W252" s="63">
        <v>0.47847222222222219</v>
      </c>
      <c r="X252" s="30">
        <v>47.15</v>
      </c>
      <c r="Y252" s="30">
        <v>78.900000000000006</v>
      </c>
    </row>
    <row r="253" spans="2:25" x14ac:dyDescent="0.3">
      <c r="B253" s="26">
        <f>B254+50</f>
        <v>14550</v>
      </c>
      <c r="C253" s="30">
        <v>153.69999999999999</v>
      </c>
      <c r="D253" s="30">
        <v>153</v>
      </c>
      <c r="E253" s="40"/>
      <c r="F253" s="30">
        <f t="shared" ref="F253:F258" si="15">B253-D253</f>
        <v>14397</v>
      </c>
      <c r="G253" s="40"/>
      <c r="H253" s="7">
        <v>181.95</v>
      </c>
      <c r="I253" s="7">
        <v>144.75</v>
      </c>
      <c r="J253" s="7"/>
      <c r="K253" s="7"/>
      <c r="L253" s="7"/>
      <c r="M253" s="7">
        <v>143.35</v>
      </c>
      <c r="P253" s="50">
        <f>S258</f>
        <v>-6352.5</v>
      </c>
      <c r="Q253" s="57" t="s">
        <v>72</v>
      </c>
      <c r="S253" s="57" t="s">
        <v>73</v>
      </c>
      <c r="T253" s="23">
        <f>((X249+Y249)-(X258+Y258))</f>
        <v>-6.6499999999999773</v>
      </c>
      <c r="U253" s="23"/>
      <c r="V253" s="50">
        <f>T253*225</f>
        <v>-1496.249999999995</v>
      </c>
      <c r="W253" s="63">
        <v>0.4993055555555555</v>
      </c>
      <c r="X253" s="30">
        <v>44.2</v>
      </c>
      <c r="Y253" s="30">
        <v>88.8</v>
      </c>
    </row>
    <row r="254" spans="2:25" x14ac:dyDescent="0.3">
      <c r="B254" s="26">
        <f>B255+50</f>
        <v>14500</v>
      </c>
      <c r="C254" s="30">
        <v>127.7</v>
      </c>
      <c r="D254" s="30">
        <v>126.45</v>
      </c>
      <c r="E254" s="40"/>
      <c r="F254" s="30">
        <f t="shared" si="15"/>
        <v>14373.55</v>
      </c>
      <c r="G254" s="40"/>
      <c r="H254" s="7">
        <v>148.5</v>
      </c>
      <c r="I254" s="7">
        <v>117.25</v>
      </c>
      <c r="J254" s="7"/>
      <c r="K254" s="7"/>
      <c r="L254" s="7"/>
      <c r="M254" s="7">
        <v>115.85</v>
      </c>
      <c r="Q254" s="30">
        <v>60.25</v>
      </c>
      <c r="R254" s="73">
        <v>150</v>
      </c>
      <c r="S254" s="30">
        <f>R254*Q254</f>
        <v>9037.5</v>
      </c>
      <c r="W254" s="63">
        <v>0.52013888888888882</v>
      </c>
      <c r="X254" s="30">
        <v>45.3</v>
      </c>
      <c r="Y254" s="30">
        <v>81</v>
      </c>
    </row>
    <row r="255" spans="2:25" x14ac:dyDescent="0.3">
      <c r="B255" s="26">
        <v>14450</v>
      </c>
      <c r="C255" s="30">
        <v>104.85</v>
      </c>
      <c r="D255" s="7">
        <v>103.2</v>
      </c>
      <c r="E255" s="40"/>
      <c r="F255" s="30">
        <f t="shared" si="15"/>
        <v>14346.8</v>
      </c>
      <c r="G255" s="40"/>
      <c r="H255" s="7">
        <v>122</v>
      </c>
      <c r="I255" s="7">
        <v>94.6</v>
      </c>
      <c r="J255" s="7"/>
      <c r="K255" s="7"/>
      <c r="L255" s="7"/>
      <c r="M255" s="7">
        <v>93.45</v>
      </c>
      <c r="Q255" s="30">
        <v>60.25</v>
      </c>
      <c r="R255" s="73">
        <v>150</v>
      </c>
      <c r="S255" s="30">
        <f>R255*Q255</f>
        <v>9037.5</v>
      </c>
      <c r="T255" s="40"/>
      <c r="U255" s="40"/>
      <c r="V255" s="40"/>
      <c r="W255" s="63">
        <v>0.54097222222222219</v>
      </c>
      <c r="X255" s="30">
        <v>46.1</v>
      </c>
      <c r="Y255" s="30">
        <v>76.55</v>
      </c>
    </row>
    <row r="256" spans="2:25" x14ac:dyDescent="0.3">
      <c r="B256" s="26">
        <f>B255-50</f>
        <v>14400</v>
      </c>
      <c r="C256" s="30">
        <v>85.75</v>
      </c>
      <c r="D256" s="23">
        <v>84.35</v>
      </c>
      <c r="E256" s="40"/>
      <c r="F256" s="50">
        <f t="shared" si="15"/>
        <v>14315.65</v>
      </c>
      <c r="H256" s="7">
        <v>100</v>
      </c>
      <c r="I256" s="7">
        <v>75.5</v>
      </c>
      <c r="J256" s="7"/>
      <c r="K256" s="7"/>
      <c r="L256" s="7"/>
      <c r="M256" s="7">
        <v>74.900000000000006</v>
      </c>
      <c r="Q256" s="30">
        <v>60.25</v>
      </c>
      <c r="R256" s="73">
        <v>150</v>
      </c>
      <c r="S256" s="30">
        <f>R256*Q256</f>
        <v>9037.5</v>
      </c>
      <c r="T256" s="40"/>
      <c r="U256" s="40"/>
      <c r="V256" s="40"/>
      <c r="W256" s="63">
        <v>6.1805555555555558E-2</v>
      </c>
      <c r="X256" s="30">
        <v>48.5</v>
      </c>
      <c r="Y256" s="30">
        <v>72.25</v>
      </c>
    </row>
    <row r="257" spans="2:25" x14ac:dyDescent="0.3">
      <c r="B257" s="72">
        <f>B256-50</f>
        <v>14350</v>
      </c>
      <c r="C257" s="61">
        <v>70.45</v>
      </c>
      <c r="D257" s="7">
        <v>69.150000000000006</v>
      </c>
      <c r="E257" s="40"/>
      <c r="F257" s="30">
        <f t="shared" si="15"/>
        <v>14280.85</v>
      </c>
      <c r="H257" s="7">
        <v>82.05</v>
      </c>
      <c r="I257" s="7">
        <v>60.25</v>
      </c>
      <c r="J257" s="7"/>
      <c r="K257" s="7"/>
      <c r="L257" s="7"/>
      <c r="M257" s="7">
        <v>60</v>
      </c>
      <c r="Q257" s="30">
        <f>S257/R257</f>
        <v>60.25</v>
      </c>
      <c r="R257" s="73">
        <f>SUM(R254:R256)</f>
        <v>450</v>
      </c>
      <c r="S257" s="30">
        <f>SUM(S254:S256)</f>
        <v>27112.5</v>
      </c>
      <c r="W257" s="63">
        <v>8.2638888888888887E-2</v>
      </c>
      <c r="X257" s="30">
        <v>48.4</v>
      </c>
      <c r="Y257" s="30">
        <v>69.95</v>
      </c>
    </row>
    <row r="258" spans="2:25" x14ac:dyDescent="0.3">
      <c r="B258" s="26">
        <f>B257-50</f>
        <v>14300</v>
      </c>
      <c r="C258" s="30">
        <v>58.1</v>
      </c>
      <c r="D258" s="30">
        <v>57.05</v>
      </c>
      <c r="E258" s="40"/>
      <c r="F258" s="30">
        <f t="shared" si="15"/>
        <v>14242.95</v>
      </c>
      <c r="H258" s="7">
        <v>68</v>
      </c>
      <c r="I258" s="7">
        <v>48.7</v>
      </c>
      <c r="J258" s="7"/>
      <c r="K258" s="7"/>
      <c r="L258" s="7"/>
      <c r="M258" s="7">
        <v>48.6</v>
      </c>
      <c r="Q258" s="136" t="e">
        <f>S258/(R252-R257)</f>
        <v>#DIV/0!</v>
      </c>
      <c r="R258" s="137"/>
      <c r="S258" s="30">
        <f>S257-S252</f>
        <v>-6352.5</v>
      </c>
      <c r="W258" s="63">
        <v>0.4284722222222222</v>
      </c>
      <c r="X258" s="30">
        <v>52.35</v>
      </c>
      <c r="Y258" s="23">
        <v>84.1</v>
      </c>
    </row>
    <row r="270" spans="2:25" x14ac:dyDescent="0.3">
      <c r="B270" s="40"/>
      <c r="C270" s="50">
        <f>B271+E271</f>
        <v>14515.95</v>
      </c>
      <c r="D270" s="51">
        <f>C270+E271</f>
        <v>14555.95</v>
      </c>
      <c r="E270" s="21"/>
      <c r="F270" s="21"/>
      <c r="H270" s="52" t="str">
        <f>IF((C279-D279)&gt;(C288-D288),"LONG",IF(C288&gt;D286,"LONG","SHORT"))</f>
        <v>SHORT</v>
      </c>
      <c r="I270" s="138" t="s">
        <v>80</v>
      </c>
      <c r="J270" s="139"/>
      <c r="K270" s="140"/>
      <c r="L270" s="53">
        <f>AVERAGE(L271:L272)</f>
        <v>136.07499999999999</v>
      </c>
      <c r="Q270" s="54">
        <v>0.39166666666666666</v>
      </c>
      <c r="R270" s="54">
        <v>0.39861111111111108</v>
      </c>
      <c r="S270" s="54">
        <v>0.4055555555555555</v>
      </c>
      <c r="T270" s="54">
        <v>0.41250000000000003</v>
      </c>
      <c r="U270" s="55"/>
      <c r="W270" s="34" t="s">
        <v>68</v>
      </c>
      <c r="X270" s="56" t="s">
        <v>69</v>
      </c>
      <c r="Y270" s="57" t="s">
        <v>70</v>
      </c>
    </row>
    <row r="271" spans="2:25" x14ac:dyDescent="0.3">
      <c r="B271" s="50">
        <v>14475.95</v>
      </c>
      <c r="C271" s="40"/>
      <c r="D271" s="58"/>
      <c r="E271" s="59">
        <f>ROUND((((B271*F271%)/4)/10),0)*10</f>
        <v>40</v>
      </c>
      <c r="F271" s="51">
        <v>1.19</v>
      </c>
      <c r="H271" s="60" t="s">
        <v>69</v>
      </c>
      <c r="I271" s="61">
        <f>AVERAGE(C288,C277)</f>
        <v>110.5</v>
      </c>
      <c r="J271" s="61">
        <f>AVERAGE(C288,C278)</f>
        <v>94.85</v>
      </c>
      <c r="K271" s="61">
        <f>AVERAGE(C288,C279)</f>
        <v>81.275000000000006</v>
      </c>
      <c r="L271" s="61">
        <f>C277</f>
        <v>126.25</v>
      </c>
      <c r="Q271" s="51">
        <v>14481</v>
      </c>
      <c r="R271" s="51">
        <v>14491.1</v>
      </c>
      <c r="S271" s="51">
        <v>14495.45</v>
      </c>
      <c r="T271" s="51">
        <v>14479.9</v>
      </c>
      <c r="U271" s="62"/>
      <c r="W271" s="63">
        <v>0.41597222222222219</v>
      </c>
      <c r="X271" s="30">
        <v>67.8</v>
      </c>
      <c r="Y271" s="30">
        <v>94.75</v>
      </c>
    </row>
    <row r="272" spans="2:25" x14ac:dyDescent="0.3">
      <c r="B272" s="40"/>
      <c r="C272" s="50">
        <f>B271-E271</f>
        <v>14435.95</v>
      </c>
      <c r="D272" s="51">
        <f>C272-E271</f>
        <v>14395.95</v>
      </c>
      <c r="E272" s="21"/>
      <c r="F272" s="21"/>
      <c r="H272" s="60" t="s">
        <v>70</v>
      </c>
      <c r="I272" s="61">
        <f>AVERAGE(C279,C286)</f>
        <v>106.85</v>
      </c>
      <c r="J272" s="61">
        <f>AVERAGE(C279,C287)</f>
        <v>92.949999999999989</v>
      </c>
      <c r="K272" s="61">
        <f>AVERAGE(C279,C288)</f>
        <v>81.275000000000006</v>
      </c>
      <c r="L272" s="61">
        <f>C286</f>
        <v>145.9</v>
      </c>
      <c r="W272" s="63">
        <v>0.4368055555555555</v>
      </c>
      <c r="X272" s="30">
        <v>68.099999999999994</v>
      </c>
      <c r="Y272" s="30">
        <v>93.45</v>
      </c>
    </row>
    <row r="273" spans="2:25" x14ac:dyDescent="0.3">
      <c r="F273" s="40"/>
      <c r="G273" s="40"/>
      <c r="K273" s="40"/>
      <c r="W273" s="63">
        <v>0.45763888888888887</v>
      </c>
      <c r="X273" s="30">
        <v>68.05</v>
      </c>
      <c r="Y273" s="30">
        <v>93.1</v>
      </c>
    </row>
    <row r="274" spans="2:25" x14ac:dyDescent="0.3">
      <c r="B274" s="40"/>
      <c r="W274" s="63">
        <v>0.47847222222222219</v>
      </c>
      <c r="X274" s="30">
        <v>80.349999999999994</v>
      </c>
      <c r="Y274" s="30">
        <v>76.8</v>
      </c>
    </row>
    <row r="275" spans="2:25" x14ac:dyDescent="0.3">
      <c r="C275" s="64">
        <v>44208</v>
      </c>
      <c r="F275" s="30">
        <f>AVERAGE(F277,F286)</f>
        <v>14466.875</v>
      </c>
      <c r="G275" s="65"/>
      <c r="H275" s="66">
        <v>0.50277777777777777</v>
      </c>
      <c r="I275" s="66">
        <v>5.2083333333333336E-2</v>
      </c>
      <c r="J275" s="66"/>
      <c r="K275" s="66"/>
      <c r="L275" s="67">
        <v>8.3333333333333329E-2</v>
      </c>
      <c r="M275" s="67">
        <v>0.13541666666666666</v>
      </c>
      <c r="Q275" s="132" t="s">
        <v>71</v>
      </c>
      <c r="R275" s="132"/>
      <c r="S275" s="132" t="s">
        <v>37</v>
      </c>
      <c r="T275" s="132"/>
      <c r="U275" s="69"/>
      <c r="W275" s="63">
        <v>0.4993055555555555</v>
      </c>
      <c r="X275" s="30">
        <v>79.599999999999994</v>
      </c>
      <c r="Y275" s="30">
        <v>75.599999999999994</v>
      </c>
    </row>
    <row r="276" spans="2:25" x14ac:dyDescent="0.3">
      <c r="B276" s="34" t="s">
        <v>68</v>
      </c>
      <c r="C276" s="63">
        <v>0.41666666666666669</v>
      </c>
      <c r="D276" s="63">
        <v>0.38680555555555557</v>
      </c>
      <c r="H276" s="23">
        <v>64.150000000000006</v>
      </c>
      <c r="I276" s="23">
        <v>85.45</v>
      </c>
      <c r="J276" s="7"/>
      <c r="K276" s="7"/>
      <c r="L276" s="7"/>
      <c r="M276" s="7">
        <v>14599.45</v>
      </c>
      <c r="Q276" s="61">
        <f>R276-(S276-R276)</f>
        <v>13815.650000000001</v>
      </c>
      <c r="R276" s="61">
        <v>14150.7</v>
      </c>
      <c r="S276" s="61">
        <v>14485.75</v>
      </c>
      <c r="T276" s="61">
        <f>S276+(S276-R276)</f>
        <v>14820.8</v>
      </c>
      <c r="U276" s="71"/>
      <c r="W276" s="63">
        <v>0.52013888888888882</v>
      </c>
      <c r="X276" s="30">
        <v>91.15</v>
      </c>
      <c r="Y276" s="30">
        <v>58.95</v>
      </c>
    </row>
    <row r="277" spans="2:25" x14ac:dyDescent="0.3">
      <c r="B277" s="26">
        <f>B278-50</f>
        <v>14400</v>
      </c>
      <c r="C277" s="30">
        <v>126.25</v>
      </c>
      <c r="D277" s="30">
        <v>120</v>
      </c>
      <c r="E277" s="40"/>
      <c r="F277" s="30">
        <f t="shared" ref="F277:F282" si="16">B277+D277</f>
        <v>14520</v>
      </c>
      <c r="H277" s="7">
        <v>158.9</v>
      </c>
      <c r="I277" s="7">
        <v>201.4</v>
      </c>
      <c r="J277" s="7"/>
      <c r="K277" s="7"/>
      <c r="L277" s="7">
        <v>196.3</v>
      </c>
      <c r="M277" s="7">
        <v>200.6</v>
      </c>
      <c r="R277" s="40"/>
      <c r="S277" s="40"/>
      <c r="W277" s="63">
        <v>0.54097222222222219</v>
      </c>
      <c r="X277" s="30">
        <v>100.75</v>
      </c>
      <c r="Y277" s="30">
        <v>55.55</v>
      </c>
    </row>
    <row r="278" spans="2:25" x14ac:dyDescent="0.3">
      <c r="B278" s="26">
        <f>B279-50</f>
        <v>14450</v>
      </c>
      <c r="C278" s="30">
        <v>94.95</v>
      </c>
      <c r="D278" s="30">
        <v>89.6</v>
      </c>
      <c r="E278" s="40"/>
      <c r="F278" s="30">
        <f t="shared" si="16"/>
        <v>14539.6</v>
      </c>
      <c r="H278" s="7">
        <v>122.65</v>
      </c>
      <c r="I278" s="7">
        <v>163.25</v>
      </c>
      <c r="J278" s="7"/>
      <c r="K278" s="7"/>
      <c r="L278" s="7">
        <v>157.05000000000001</v>
      </c>
      <c r="M278" s="7">
        <v>161.9</v>
      </c>
      <c r="W278" s="63">
        <v>6.1805555555555558E-2</v>
      </c>
      <c r="X278" s="30">
        <v>118</v>
      </c>
      <c r="Y278" s="30">
        <v>54.75</v>
      </c>
    </row>
    <row r="279" spans="2:25" x14ac:dyDescent="0.3">
      <c r="B279" s="26">
        <v>14500</v>
      </c>
      <c r="C279" s="30">
        <v>67.8</v>
      </c>
      <c r="D279" s="30">
        <v>64.150000000000006</v>
      </c>
      <c r="E279" s="40"/>
      <c r="F279" s="30">
        <f t="shared" si="16"/>
        <v>14564.15</v>
      </c>
      <c r="H279" s="7">
        <v>90</v>
      </c>
      <c r="I279" s="7">
        <v>127.3</v>
      </c>
      <c r="J279" s="7"/>
      <c r="K279" s="7"/>
      <c r="L279" s="7">
        <v>120.95</v>
      </c>
      <c r="M279" s="7">
        <v>123.9</v>
      </c>
      <c r="W279" s="63">
        <v>8.2638888888888887E-2</v>
      </c>
      <c r="X279" s="30">
        <v>120.95</v>
      </c>
      <c r="Y279" s="30">
        <v>51.25</v>
      </c>
    </row>
    <row r="280" spans="2:25" x14ac:dyDescent="0.3">
      <c r="B280" s="26">
        <f>B279+50</f>
        <v>14550</v>
      </c>
      <c r="C280" s="51">
        <v>45.6</v>
      </c>
      <c r="D280" s="23">
        <v>43.3</v>
      </c>
      <c r="E280" s="40"/>
      <c r="F280" s="50">
        <f t="shared" si="16"/>
        <v>14593.3</v>
      </c>
      <c r="H280" s="7">
        <v>62.6</v>
      </c>
      <c r="I280" s="7">
        <v>95.25</v>
      </c>
      <c r="J280" s="7"/>
      <c r="K280" s="7"/>
      <c r="L280" s="7">
        <v>89.5</v>
      </c>
      <c r="M280" s="7">
        <v>91.25</v>
      </c>
    </row>
    <row r="281" spans="2:25" x14ac:dyDescent="0.3">
      <c r="B281" s="72">
        <f>B280+50</f>
        <v>14600</v>
      </c>
      <c r="C281" s="30">
        <v>29.15</v>
      </c>
      <c r="D281" s="30">
        <v>27.7</v>
      </c>
      <c r="E281" s="40"/>
      <c r="F281" s="30">
        <f t="shared" si="16"/>
        <v>14627.7</v>
      </c>
      <c r="H281" s="7">
        <v>41.05</v>
      </c>
      <c r="I281" s="7">
        <v>68.55</v>
      </c>
      <c r="J281" s="7"/>
      <c r="K281" s="7"/>
      <c r="L281" s="7">
        <v>63.4</v>
      </c>
      <c r="M281" s="7">
        <v>63.2</v>
      </c>
      <c r="Q281" s="133" t="s">
        <v>72</v>
      </c>
      <c r="R281" s="134"/>
      <c r="S281" s="135"/>
      <c r="W281" s="34" t="s">
        <v>68</v>
      </c>
      <c r="X281" s="56" t="s">
        <v>69</v>
      </c>
      <c r="Y281" s="57" t="s">
        <v>70</v>
      </c>
    </row>
    <row r="282" spans="2:25" x14ac:dyDescent="0.3">
      <c r="B282" s="26">
        <f>B281+50</f>
        <v>14650</v>
      </c>
      <c r="C282" s="30">
        <v>17.5</v>
      </c>
      <c r="D282" s="30">
        <v>16.649999999999999</v>
      </c>
      <c r="E282" s="40"/>
      <c r="F282" s="30">
        <f t="shared" si="16"/>
        <v>14666.65</v>
      </c>
      <c r="H282" s="7">
        <v>25</v>
      </c>
      <c r="I282" s="7">
        <v>47.3</v>
      </c>
      <c r="J282" s="7"/>
      <c r="K282" s="7"/>
      <c r="L282" s="7">
        <v>42.6</v>
      </c>
      <c r="M282" s="7">
        <v>41.3</v>
      </c>
      <c r="Q282" s="30">
        <v>62.6</v>
      </c>
      <c r="R282" s="73">
        <v>150</v>
      </c>
      <c r="S282" s="30">
        <f>R282*Q282</f>
        <v>9390</v>
      </c>
      <c r="W282" s="63">
        <v>0.41597222222222219</v>
      </c>
      <c r="X282" s="30">
        <v>45.6</v>
      </c>
      <c r="Y282" s="30">
        <v>60.5</v>
      </c>
    </row>
    <row r="283" spans="2:25" x14ac:dyDescent="0.3">
      <c r="E283" s="40">
        <f>F283-(G283-F283)</f>
        <v>42.850000000000009</v>
      </c>
      <c r="F283" s="40">
        <f>AVERAGE(C279,C290)</f>
        <v>64.150000000000006</v>
      </c>
      <c r="G283" s="40">
        <f>AVERAGE(C278,C289)</f>
        <v>85.45</v>
      </c>
      <c r="H283" s="17"/>
      <c r="I283" s="17"/>
      <c r="J283" s="17"/>
      <c r="K283" s="76"/>
      <c r="L283" s="17"/>
      <c r="M283" s="17"/>
      <c r="Q283" s="30"/>
      <c r="R283" s="73"/>
      <c r="S283" s="30">
        <f>R283*Q283</f>
        <v>0</v>
      </c>
      <c r="W283" s="63">
        <v>0.4368055555555555</v>
      </c>
      <c r="X283" s="30">
        <v>46</v>
      </c>
      <c r="Y283" s="30">
        <v>58.95</v>
      </c>
    </row>
    <row r="284" spans="2:25" x14ac:dyDescent="0.3">
      <c r="C284" s="64">
        <v>43844</v>
      </c>
      <c r="H284" s="66">
        <v>0.50277777777777777</v>
      </c>
      <c r="I284" s="66">
        <v>5.2083333333333336E-2</v>
      </c>
      <c r="J284" s="66"/>
      <c r="K284" s="66"/>
      <c r="L284" s="67">
        <v>8.3333333333333329E-2</v>
      </c>
      <c r="M284" s="67">
        <v>0.13541666666666666</v>
      </c>
      <c r="Q284" s="30"/>
      <c r="R284" s="73"/>
      <c r="S284" s="30">
        <f>R284*Q284</f>
        <v>0</v>
      </c>
      <c r="W284" s="63">
        <v>0.45763888888888887</v>
      </c>
      <c r="X284" s="30">
        <v>45.75</v>
      </c>
      <c r="Y284" s="30">
        <v>59.15</v>
      </c>
    </row>
    <row r="285" spans="2:25" x14ac:dyDescent="0.3">
      <c r="B285" s="34" t="s">
        <v>68</v>
      </c>
      <c r="C285" s="63">
        <v>0.41666666666666669</v>
      </c>
      <c r="D285" s="63">
        <v>0.40625</v>
      </c>
      <c r="E285" s="40">
        <f>F285-(G285-F285)</f>
        <v>48.900000000000006</v>
      </c>
      <c r="F285" s="40">
        <f>AVERAGE(C279,C289)</f>
        <v>71.875</v>
      </c>
      <c r="G285" s="40">
        <f>AVERAGE(C278,C288)</f>
        <v>94.85</v>
      </c>
      <c r="H285" s="7">
        <v>14542</v>
      </c>
      <c r="I285" s="7">
        <v>14592.3</v>
      </c>
      <c r="J285" s="7"/>
      <c r="K285" s="7"/>
      <c r="L285" s="7"/>
      <c r="M285" s="7">
        <v>14599.45</v>
      </c>
      <c r="Q285" s="30">
        <f>S285/R285</f>
        <v>62.6</v>
      </c>
      <c r="R285" s="73">
        <f>SUM(R282:R284)</f>
        <v>150</v>
      </c>
      <c r="S285" s="30">
        <f>SUM(S282:S284)</f>
        <v>9390</v>
      </c>
      <c r="V285" s="40"/>
      <c r="W285" s="63">
        <v>0.47847222222222219</v>
      </c>
      <c r="X285" s="30">
        <v>55.05</v>
      </c>
      <c r="Y285" s="30">
        <v>48</v>
      </c>
    </row>
    <row r="286" spans="2:25" x14ac:dyDescent="0.3">
      <c r="B286" s="26">
        <f>B287+50</f>
        <v>14550</v>
      </c>
      <c r="C286" s="30">
        <v>145.9</v>
      </c>
      <c r="D286" s="30">
        <v>136.25</v>
      </c>
      <c r="E286" s="40"/>
      <c r="F286" s="30">
        <f t="shared" ref="F286:F291" si="17">B286-D286</f>
        <v>14413.75</v>
      </c>
      <c r="H286" s="7">
        <v>103.65</v>
      </c>
      <c r="I286" s="7">
        <v>85.8</v>
      </c>
      <c r="J286" s="7"/>
      <c r="K286" s="7"/>
      <c r="L286" s="7">
        <v>83.3</v>
      </c>
      <c r="M286" s="7">
        <v>69.099999999999994</v>
      </c>
      <c r="P286" s="50">
        <f>S291</f>
        <v>3427.5</v>
      </c>
      <c r="Q286" s="57" t="s">
        <v>72</v>
      </c>
      <c r="S286" s="57" t="s">
        <v>73</v>
      </c>
      <c r="T286" s="23">
        <f>((X282+Y282)-(X291+Y291))</f>
        <v>7.6499999999999915</v>
      </c>
      <c r="U286" s="23"/>
      <c r="V286" s="50">
        <f>T286*225</f>
        <v>1721.2499999999982</v>
      </c>
      <c r="W286" s="63">
        <v>0.4993055555555555</v>
      </c>
      <c r="X286" s="30">
        <v>54.55</v>
      </c>
      <c r="Y286" s="30">
        <v>47.1</v>
      </c>
    </row>
    <row r="287" spans="2:25" x14ac:dyDescent="0.3">
      <c r="B287" s="26">
        <f>B288+50</f>
        <v>14500</v>
      </c>
      <c r="C287" s="30">
        <v>118.1</v>
      </c>
      <c r="D287" s="30">
        <v>109.3</v>
      </c>
      <c r="E287" s="40"/>
      <c r="F287" s="30">
        <f t="shared" si="17"/>
        <v>14390.7</v>
      </c>
      <c r="H287" s="7">
        <v>80.900000000000006</v>
      </c>
      <c r="I287" s="7">
        <v>67.349999999999994</v>
      </c>
      <c r="J287" s="7"/>
      <c r="K287" s="7"/>
      <c r="L287" s="7">
        <v>65.2</v>
      </c>
      <c r="M287" s="7">
        <v>52.1</v>
      </c>
      <c r="Q287" s="30">
        <v>85.45</v>
      </c>
      <c r="R287" s="73">
        <v>150</v>
      </c>
      <c r="S287" s="30">
        <f>R287*Q287</f>
        <v>12817.5</v>
      </c>
      <c r="W287" s="63">
        <v>0.52013888888888882</v>
      </c>
      <c r="X287" s="30">
        <v>63.15</v>
      </c>
      <c r="Y287" s="30">
        <v>36</v>
      </c>
    </row>
    <row r="288" spans="2:25" x14ac:dyDescent="0.3">
      <c r="B288" s="26">
        <v>14450</v>
      </c>
      <c r="C288" s="30">
        <v>94.75</v>
      </c>
      <c r="D288" s="7">
        <v>87.7</v>
      </c>
      <c r="E288" s="40"/>
      <c r="F288" s="30">
        <f t="shared" si="17"/>
        <v>14362.3</v>
      </c>
      <c r="H288" s="7">
        <v>63.4</v>
      </c>
      <c r="I288" s="7">
        <v>52.85</v>
      </c>
      <c r="J288" s="7"/>
      <c r="K288" s="7"/>
      <c r="L288" s="7">
        <v>51.25</v>
      </c>
      <c r="M288" s="7">
        <v>39.049999999999997</v>
      </c>
      <c r="Q288" s="30"/>
      <c r="R288" s="73"/>
      <c r="S288" s="30">
        <f>R288*Q288</f>
        <v>0</v>
      </c>
      <c r="T288" s="40"/>
      <c r="U288" s="40"/>
      <c r="V288" s="40"/>
      <c r="W288" s="63">
        <v>0.54097222222222219</v>
      </c>
      <c r="X288" s="30">
        <v>72.05</v>
      </c>
      <c r="Y288" s="30">
        <v>35.200000000000003</v>
      </c>
    </row>
    <row r="289" spans="2:25" x14ac:dyDescent="0.3">
      <c r="B289" s="26">
        <f>B288-50</f>
        <v>14400</v>
      </c>
      <c r="C289" s="30">
        <v>75.95</v>
      </c>
      <c r="D289" s="23">
        <v>70</v>
      </c>
      <c r="E289" s="40"/>
      <c r="F289" s="50">
        <f t="shared" si="17"/>
        <v>14330</v>
      </c>
      <c r="H289" s="7">
        <v>49.45</v>
      </c>
      <c r="I289" s="7">
        <v>42.25</v>
      </c>
      <c r="J289" s="7"/>
      <c r="K289" s="7"/>
      <c r="L289" s="7">
        <v>40.65</v>
      </c>
      <c r="M289" s="7">
        <v>29.55</v>
      </c>
      <c r="Q289" s="30"/>
      <c r="R289" s="73"/>
      <c r="S289" s="30">
        <f>R289*Q289</f>
        <v>0</v>
      </c>
      <c r="T289" s="40"/>
      <c r="U289" s="40"/>
      <c r="V289" s="40"/>
      <c r="W289" s="63">
        <v>6.1805555555555558E-2</v>
      </c>
      <c r="X289" s="30">
        <v>86.8</v>
      </c>
      <c r="Y289" s="30">
        <v>34.75</v>
      </c>
    </row>
    <row r="290" spans="2:25" x14ac:dyDescent="0.3">
      <c r="B290" s="72">
        <f>B289-50</f>
        <v>14350</v>
      </c>
      <c r="C290" s="51">
        <v>60.5</v>
      </c>
      <c r="D290" s="7">
        <v>56</v>
      </c>
      <c r="E290" s="40"/>
      <c r="F290" s="30">
        <f t="shared" si="17"/>
        <v>14294</v>
      </c>
      <c r="H290" s="7">
        <v>38.9</v>
      </c>
      <c r="I290" s="7">
        <v>34.299999999999997</v>
      </c>
      <c r="J290" s="7"/>
      <c r="K290" s="7"/>
      <c r="L290" s="7">
        <v>32.5</v>
      </c>
      <c r="M290" s="7">
        <v>22.95</v>
      </c>
      <c r="Q290" s="30">
        <f>S290/R290</f>
        <v>85.45</v>
      </c>
      <c r="R290" s="73">
        <f>SUM(R287:R289)</f>
        <v>150</v>
      </c>
      <c r="S290" s="30">
        <f>SUM(S287:S289)</f>
        <v>12817.5</v>
      </c>
      <c r="W290" s="63">
        <v>8.2638888888888887E-2</v>
      </c>
      <c r="X290" s="30">
        <v>89.5</v>
      </c>
      <c r="Y290" s="30">
        <v>32.5</v>
      </c>
    </row>
    <row r="291" spans="2:25" x14ac:dyDescent="0.3">
      <c r="B291" s="26">
        <f>B290-50</f>
        <v>14300</v>
      </c>
      <c r="C291" s="30">
        <v>48.8</v>
      </c>
      <c r="D291" s="7">
        <v>44.95</v>
      </c>
      <c r="E291" s="40"/>
      <c r="F291" s="30">
        <f t="shared" si="17"/>
        <v>14255.05</v>
      </c>
      <c r="H291" s="7">
        <v>30.95</v>
      </c>
      <c r="I291" s="7">
        <v>27.95</v>
      </c>
      <c r="J291" s="7"/>
      <c r="K291" s="7"/>
      <c r="L291" s="7">
        <v>26.4</v>
      </c>
      <c r="M291" s="7">
        <v>18.649999999999999</v>
      </c>
      <c r="Q291" s="136" t="e">
        <f>S291/(R285-R290)</f>
        <v>#DIV/0!</v>
      </c>
      <c r="R291" s="137"/>
      <c r="S291" s="30">
        <f>S290-S285</f>
        <v>3427.5</v>
      </c>
      <c r="W291" s="63">
        <v>0.50277777777777777</v>
      </c>
      <c r="X291" s="23">
        <v>64.150000000000006</v>
      </c>
      <c r="Y291" s="30">
        <v>34.299999999999997</v>
      </c>
    </row>
    <row r="303" spans="2:25" x14ac:dyDescent="0.3">
      <c r="B303" s="40"/>
      <c r="C303" s="50">
        <f>B304+E304</f>
        <v>14687.95</v>
      </c>
      <c r="D303" s="51">
        <f>C303+E304</f>
        <v>14727.95</v>
      </c>
      <c r="E303" s="21"/>
      <c r="F303" s="21"/>
      <c r="H303" s="52" t="str">
        <f>IF((C312-D312)&gt;(C321-D321),"LONG",IF(C321&gt;D319,"LONG","SHORT"))</f>
        <v>LONG</v>
      </c>
      <c r="I303" s="138" t="s">
        <v>81</v>
      </c>
      <c r="J303" s="139"/>
      <c r="K303" s="140"/>
      <c r="L303" s="53">
        <f>AVERAGE(L304:L305)</f>
        <v>130.27500000000001</v>
      </c>
      <c r="Q303" s="54">
        <v>0.39166666666666666</v>
      </c>
      <c r="R303" s="54">
        <v>0.39861111111111108</v>
      </c>
      <c r="S303" s="54">
        <v>0.4055555555555555</v>
      </c>
      <c r="T303" s="54">
        <v>0.41250000000000003</v>
      </c>
      <c r="U303" s="55"/>
      <c r="W303" s="34" t="s">
        <v>68</v>
      </c>
      <c r="X303" s="56" t="s">
        <v>69</v>
      </c>
      <c r="Y303" s="57" t="s">
        <v>70</v>
      </c>
    </row>
    <row r="304" spans="2:25" x14ac:dyDescent="0.3">
      <c r="B304" s="50">
        <v>14647.95</v>
      </c>
      <c r="C304" s="40"/>
      <c r="D304" s="58"/>
      <c r="E304" s="59">
        <f>ROUND((((B304*F304%)/4)/10),0)*10</f>
        <v>40</v>
      </c>
      <c r="F304" s="51">
        <v>1.19</v>
      </c>
      <c r="H304" s="60" t="s">
        <v>69</v>
      </c>
      <c r="I304" s="61">
        <f>AVERAGE(C321,C310)</f>
        <v>97.300000000000011</v>
      </c>
      <c r="J304" s="61">
        <f>AVERAGE(C321,C311)</f>
        <v>81.025000000000006</v>
      </c>
      <c r="K304" s="61">
        <f>AVERAGE(C321,C312)</f>
        <v>67.45</v>
      </c>
      <c r="L304" s="61">
        <f>C310</f>
        <v>112.45</v>
      </c>
      <c r="Q304" s="51"/>
      <c r="R304" s="51"/>
      <c r="S304" s="51"/>
      <c r="T304" s="51">
        <v>14655</v>
      </c>
      <c r="U304" s="62"/>
      <c r="W304" s="63">
        <v>0.41597222222222219</v>
      </c>
      <c r="X304" s="30">
        <v>52.75</v>
      </c>
      <c r="Y304" s="30">
        <v>82.15</v>
      </c>
    </row>
    <row r="305" spans="2:25" x14ac:dyDescent="0.3">
      <c r="B305" s="40"/>
      <c r="C305" s="50">
        <f>B304-E304</f>
        <v>14607.95</v>
      </c>
      <c r="D305" s="51">
        <f>C305-E304</f>
        <v>14567.95</v>
      </c>
      <c r="E305" s="21"/>
      <c r="F305" s="21"/>
      <c r="H305" s="60" t="s">
        <v>70</v>
      </c>
      <c r="I305" s="61">
        <f>AVERAGE(C312,C319)</f>
        <v>100.425</v>
      </c>
      <c r="J305" s="61">
        <f>AVERAGE(C312,C320)</f>
        <v>82</v>
      </c>
      <c r="K305" s="61">
        <f>AVERAGE(C312,C321)</f>
        <v>67.45</v>
      </c>
      <c r="L305" s="61">
        <f>C319</f>
        <v>148.1</v>
      </c>
      <c r="W305" s="63">
        <v>0.4368055555555555</v>
      </c>
      <c r="X305" s="30">
        <v>50.75</v>
      </c>
      <c r="Y305" s="30">
        <v>81.150000000000006</v>
      </c>
    </row>
    <row r="306" spans="2:25" x14ac:dyDescent="0.3">
      <c r="F306" s="40"/>
      <c r="G306" s="40"/>
      <c r="K306" s="40"/>
      <c r="W306" s="63">
        <v>0.45763888888888887</v>
      </c>
      <c r="X306" s="30">
        <v>46.2</v>
      </c>
      <c r="Y306" s="30">
        <v>86.85</v>
      </c>
    </row>
    <row r="307" spans="2:25" x14ac:dyDescent="0.3">
      <c r="B307" s="40"/>
      <c r="W307" s="63">
        <v>0.47847222222222219</v>
      </c>
      <c r="X307" s="30">
        <v>37.700000000000003</v>
      </c>
      <c r="Y307" s="30">
        <v>109.65</v>
      </c>
    </row>
    <row r="308" spans="2:25" x14ac:dyDescent="0.3">
      <c r="C308" s="64">
        <v>44209</v>
      </c>
      <c r="F308" s="30">
        <f>AVERAGE(F310,F319)</f>
        <v>14628.275000000001</v>
      </c>
      <c r="G308" s="65"/>
      <c r="H308" s="66">
        <v>0.47430555555555554</v>
      </c>
      <c r="I308" s="66">
        <v>6.5277777777777782E-2</v>
      </c>
      <c r="J308" s="66"/>
      <c r="K308" s="66"/>
      <c r="L308" s="67">
        <v>8.3333333333333329E-2</v>
      </c>
      <c r="M308" s="67">
        <v>0.13541666666666666</v>
      </c>
      <c r="Q308" s="132" t="s">
        <v>71</v>
      </c>
      <c r="R308" s="132"/>
      <c r="S308" s="132" t="s">
        <v>37</v>
      </c>
      <c r="T308" s="132"/>
      <c r="U308" s="69"/>
      <c r="W308" s="63">
        <v>0.4993055555555555</v>
      </c>
      <c r="X308" s="30">
        <v>32.9</v>
      </c>
      <c r="Y308" s="30">
        <v>123.8</v>
      </c>
    </row>
    <row r="309" spans="2:25" x14ac:dyDescent="0.3">
      <c r="B309" s="34" t="s">
        <v>68</v>
      </c>
      <c r="C309" s="63">
        <v>0.41666666666666669</v>
      </c>
      <c r="D309" s="63">
        <v>0.38611111111111113</v>
      </c>
      <c r="H309" s="7">
        <v>14610</v>
      </c>
      <c r="I309" s="7">
        <v>14555.8</v>
      </c>
      <c r="J309" s="7"/>
      <c r="K309" s="7"/>
      <c r="L309" s="7">
        <v>14517.4</v>
      </c>
      <c r="M309" s="7">
        <v>14614</v>
      </c>
      <c r="Q309" s="61">
        <f>R309-(S309-R309)</f>
        <v>13804.25</v>
      </c>
      <c r="R309" s="61">
        <v>14180.1</v>
      </c>
      <c r="S309" s="61">
        <v>14555.95</v>
      </c>
      <c r="T309" s="61">
        <f>S309+(S309-R309)</f>
        <v>14931.800000000001</v>
      </c>
      <c r="U309" s="71"/>
      <c r="W309" s="63">
        <v>0.52013888888888882</v>
      </c>
      <c r="X309" s="30">
        <v>30.7</v>
      </c>
      <c r="Y309" s="30">
        <v>115.7</v>
      </c>
    </row>
    <row r="310" spans="2:25" x14ac:dyDescent="0.3">
      <c r="B310" s="26">
        <f>B311-50</f>
        <v>14550</v>
      </c>
      <c r="C310" s="30">
        <v>112.45</v>
      </c>
      <c r="D310" s="30">
        <v>95.95</v>
      </c>
      <c r="E310" s="40"/>
      <c r="F310" s="30">
        <f t="shared" ref="F310:F315" si="18">B310+D310</f>
        <v>14645.95</v>
      </c>
      <c r="H310" s="7">
        <v>89.6</v>
      </c>
      <c r="I310" s="7">
        <v>56.9</v>
      </c>
      <c r="J310" s="7"/>
      <c r="K310" s="7"/>
      <c r="L310" s="7">
        <v>39.549999999999997</v>
      </c>
      <c r="M310" s="7">
        <v>67.349999999999994</v>
      </c>
      <c r="R310" s="40"/>
      <c r="S310" s="40"/>
      <c r="W310" s="63">
        <v>0.54097222222222219</v>
      </c>
      <c r="X310" s="30">
        <v>33.299999999999997</v>
      </c>
      <c r="Y310" s="30">
        <v>105.2</v>
      </c>
    </row>
    <row r="311" spans="2:25" x14ac:dyDescent="0.3">
      <c r="B311" s="26">
        <f>B312-50</f>
        <v>14600</v>
      </c>
      <c r="C311" s="30">
        <v>79.900000000000006</v>
      </c>
      <c r="D311" s="30">
        <v>67.2</v>
      </c>
      <c r="E311" s="40"/>
      <c r="F311" s="30">
        <f t="shared" si="18"/>
        <v>14667.2</v>
      </c>
      <c r="H311" s="7">
        <v>61.9</v>
      </c>
      <c r="I311" s="7">
        <v>36.549999999999997</v>
      </c>
      <c r="J311" s="7"/>
      <c r="K311" s="7"/>
      <c r="L311" s="7">
        <v>23.75</v>
      </c>
      <c r="M311" s="7">
        <v>39.75</v>
      </c>
      <c r="W311" s="63">
        <v>6.1805555555555558E-2</v>
      </c>
      <c r="X311" s="30">
        <v>27.75</v>
      </c>
      <c r="Y311" s="30">
        <v>118</v>
      </c>
    </row>
    <row r="312" spans="2:25" x14ac:dyDescent="0.3">
      <c r="B312" s="26">
        <v>14650</v>
      </c>
      <c r="C312" s="30">
        <v>52.75</v>
      </c>
      <c r="D312" s="30">
        <v>44</v>
      </c>
      <c r="E312" s="40"/>
      <c r="F312" s="30">
        <f t="shared" si="18"/>
        <v>14694</v>
      </c>
      <c r="H312" s="7">
        <v>39.65</v>
      </c>
      <c r="I312" s="7">
        <v>21.35</v>
      </c>
      <c r="J312" s="7"/>
      <c r="K312" s="7"/>
      <c r="L312" s="7">
        <v>13.35</v>
      </c>
      <c r="M312" s="7">
        <v>20.399999999999999</v>
      </c>
      <c r="W312" s="63">
        <v>8.2638888888888887E-2</v>
      </c>
      <c r="X312" s="30">
        <v>13.35</v>
      </c>
      <c r="Y312" s="30">
        <v>170.75</v>
      </c>
    </row>
    <row r="313" spans="2:25" x14ac:dyDescent="0.3">
      <c r="B313" s="26">
        <f>B312+50</f>
        <v>14700</v>
      </c>
      <c r="C313" s="61">
        <v>31.85</v>
      </c>
      <c r="D313" s="23">
        <v>26.9</v>
      </c>
      <c r="E313" s="40"/>
      <c r="F313" s="50">
        <f t="shared" si="18"/>
        <v>14726.9</v>
      </c>
      <c r="H313" s="7">
        <v>23.65</v>
      </c>
      <c r="I313" s="7">
        <v>11.65</v>
      </c>
      <c r="J313" s="7"/>
      <c r="K313" s="7"/>
      <c r="L313" s="7">
        <v>7.25</v>
      </c>
      <c r="M313" s="7">
        <v>9.75</v>
      </c>
    </row>
    <row r="314" spans="2:25" x14ac:dyDescent="0.3">
      <c r="B314" s="72">
        <f>B313+50</f>
        <v>14750</v>
      </c>
      <c r="C314" s="30">
        <v>17.850000000000001</v>
      </c>
      <c r="D314" s="30">
        <v>15.4</v>
      </c>
      <c r="E314" s="40"/>
      <c r="F314" s="30">
        <f t="shared" si="18"/>
        <v>14765.4</v>
      </c>
      <c r="H314" s="7">
        <v>12.9</v>
      </c>
      <c r="I314" s="7">
        <v>6.1</v>
      </c>
      <c r="J314" s="7"/>
      <c r="K314" s="7"/>
      <c r="L314" s="7">
        <v>4.45</v>
      </c>
      <c r="M314" s="7">
        <v>4.5999999999999996</v>
      </c>
      <c r="Q314" s="133" t="s">
        <v>72</v>
      </c>
      <c r="R314" s="134"/>
      <c r="S314" s="135"/>
      <c r="W314" s="34" t="s">
        <v>68</v>
      </c>
      <c r="X314" s="56" t="s">
        <v>69</v>
      </c>
      <c r="Y314" s="57" t="s">
        <v>70</v>
      </c>
    </row>
    <row r="315" spans="2:25" x14ac:dyDescent="0.3">
      <c r="B315" s="26">
        <f>B314+50</f>
        <v>14800</v>
      </c>
      <c r="C315" s="30">
        <v>9.15</v>
      </c>
      <c r="D315" s="30">
        <v>8.3000000000000007</v>
      </c>
      <c r="E315" s="40"/>
      <c r="F315" s="30">
        <f t="shared" si="18"/>
        <v>14808.3</v>
      </c>
      <c r="H315" s="7">
        <v>6.85</v>
      </c>
      <c r="I315" s="7">
        <v>3.55</v>
      </c>
      <c r="J315" s="7"/>
      <c r="K315" s="7"/>
      <c r="L315" s="7">
        <v>3.1</v>
      </c>
      <c r="M315" s="7">
        <v>2.75</v>
      </c>
      <c r="Q315" s="30">
        <v>55.75</v>
      </c>
      <c r="R315" s="73">
        <v>150</v>
      </c>
      <c r="S315" s="30">
        <f>R315*Q315</f>
        <v>8362.5</v>
      </c>
      <c r="W315" s="63">
        <v>0.41597222222222219</v>
      </c>
      <c r="X315" s="30">
        <v>31.85</v>
      </c>
      <c r="Y315" s="30">
        <v>41.6</v>
      </c>
    </row>
    <row r="316" spans="2:25" x14ac:dyDescent="0.3">
      <c r="E316" s="40">
        <f>F316-(G316-F316)</f>
        <v>24.824999999999989</v>
      </c>
      <c r="F316" s="40">
        <f>AVERAGE(C312,C323)</f>
        <v>47.174999999999997</v>
      </c>
      <c r="G316" s="40">
        <f>AVERAGE(C311,C322)</f>
        <v>69.525000000000006</v>
      </c>
      <c r="H316" s="17"/>
      <c r="I316" s="17"/>
      <c r="J316" s="17"/>
      <c r="K316" s="76"/>
      <c r="L316" s="17"/>
      <c r="M316" s="17"/>
      <c r="Q316" s="30"/>
      <c r="R316" s="73"/>
      <c r="S316" s="30">
        <f>R316*Q316</f>
        <v>0</v>
      </c>
      <c r="W316" s="63">
        <v>0.4368055555555555</v>
      </c>
      <c r="X316" s="30">
        <v>30.4</v>
      </c>
      <c r="Y316" s="30">
        <v>40.75</v>
      </c>
    </row>
    <row r="317" spans="2:25" x14ac:dyDescent="0.3">
      <c r="C317" s="64">
        <v>43844</v>
      </c>
      <c r="H317" s="66">
        <v>0.47430555555555554</v>
      </c>
      <c r="I317" s="66">
        <v>6.5277777777777782E-2</v>
      </c>
      <c r="J317" s="66"/>
      <c r="K317" s="66"/>
      <c r="L317" s="67">
        <v>8.3333333333333329E-2</v>
      </c>
      <c r="M317" s="67">
        <v>0.13541666666666666</v>
      </c>
      <c r="Q317" s="30"/>
      <c r="R317" s="73"/>
      <c r="S317" s="30">
        <f>R317*Q317</f>
        <v>0</v>
      </c>
      <c r="W317" s="63">
        <v>0.45763888888888887</v>
      </c>
      <c r="X317" s="30">
        <v>27.05</v>
      </c>
      <c r="Y317" s="30">
        <v>43.25</v>
      </c>
    </row>
    <row r="318" spans="2:25" x14ac:dyDescent="0.3">
      <c r="B318" s="34" t="s">
        <v>68</v>
      </c>
      <c r="C318" s="63">
        <v>0.41666666666666669</v>
      </c>
      <c r="D318" s="63">
        <v>0.41319444444444442</v>
      </c>
      <c r="E318" s="40">
        <f>F318-(G318-F318)</f>
        <v>30.875</v>
      </c>
      <c r="F318" s="40">
        <f>AVERAGE(C322,C312)</f>
        <v>55.95</v>
      </c>
      <c r="G318" s="40">
        <f>AVERAGE(C321,C311)</f>
        <v>81.025000000000006</v>
      </c>
      <c r="H318" s="23">
        <v>55.95</v>
      </c>
      <c r="I318" s="23">
        <v>81</v>
      </c>
      <c r="J318" s="7"/>
      <c r="K318" s="7"/>
      <c r="L318" s="7">
        <v>14517.4</v>
      </c>
      <c r="M318" s="7">
        <v>14614</v>
      </c>
      <c r="Q318" s="30">
        <f>S318/R318</f>
        <v>55.75</v>
      </c>
      <c r="R318" s="73">
        <f>SUM(R315:R317)</f>
        <v>150</v>
      </c>
      <c r="S318" s="30">
        <f>SUM(S315:S317)</f>
        <v>8362.5</v>
      </c>
      <c r="V318" s="40"/>
      <c r="W318" s="63">
        <v>0.47847222222222219</v>
      </c>
      <c r="X318" s="30">
        <v>22.25</v>
      </c>
      <c r="Y318" s="30">
        <v>57.9</v>
      </c>
    </row>
    <row r="319" spans="2:25" x14ac:dyDescent="0.3">
      <c r="B319" s="26">
        <f>B320+50</f>
        <v>14750</v>
      </c>
      <c r="C319" s="30">
        <v>148.1</v>
      </c>
      <c r="D319" s="30">
        <v>139.4</v>
      </c>
      <c r="E319" s="40"/>
      <c r="F319" s="30">
        <f t="shared" ref="F319:F324" si="19">B319-D319</f>
        <v>14610.6</v>
      </c>
      <c r="H319" s="7">
        <v>179.25</v>
      </c>
      <c r="I319" s="7">
        <v>224.85</v>
      </c>
      <c r="J319" s="7"/>
      <c r="K319" s="7"/>
      <c r="L319" s="7">
        <v>258.45</v>
      </c>
      <c r="M319" s="7">
        <v>168.6</v>
      </c>
      <c r="P319" s="50">
        <f>S324</f>
        <v>3787.5</v>
      </c>
      <c r="Q319" s="57" t="s">
        <v>72</v>
      </c>
      <c r="S319" s="57" t="s">
        <v>73</v>
      </c>
      <c r="T319" s="23">
        <f>((X315+Y315)-(X324+Y324))</f>
        <v>4.5999999999999943</v>
      </c>
      <c r="U319" s="23"/>
      <c r="V319" s="50">
        <f>T319*225</f>
        <v>1034.9999999999986</v>
      </c>
      <c r="W319" s="63">
        <v>0.4993055555555555</v>
      </c>
      <c r="X319" s="30">
        <v>19.45</v>
      </c>
      <c r="Y319" s="30">
        <v>67.5</v>
      </c>
    </row>
    <row r="320" spans="2:25" x14ac:dyDescent="0.3">
      <c r="B320" s="26">
        <f>B321+50</f>
        <v>14700</v>
      </c>
      <c r="C320" s="30">
        <v>111.25</v>
      </c>
      <c r="D320" s="30">
        <v>103.3</v>
      </c>
      <c r="E320" s="40"/>
      <c r="F320" s="30">
        <f t="shared" si="19"/>
        <v>14596.7</v>
      </c>
      <c r="H320" s="7">
        <v>140</v>
      </c>
      <c r="I320" s="7">
        <v>183.75</v>
      </c>
      <c r="J320" s="7"/>
      <c r="K320" s="7"/>
      <c r="L320" s="7">
        <v>215.6</v>
      </c>
      <c r="M320" s="7">
        <v>126.1</v>
      </c>
      <c r="Q320" s="30">
        <v>81</v>
      </c>
      <c r="R320" s="73">
        <v>150</v>
      </c>
      <c r="S320" s="30">
        <f>R320*Q320</f>
        <v>12150</v>
      </c>
      <c r="W320" s="63">
        <v>0.52013888888888882</v>
      </c>
      <c r="X320" s="30">
        <v>17.7</v>
      </c>
      <c r="Y320" s="30">
        <v>60.2</v>
      </c>
    </row>
    <row r="321" spans="2:25" x14ac:dyDescent="0.3">
      <c r="B321" s="26">
        <v>14650</v>
      </c>
      <c r="C321" s="30">
        <v>82.15</v>
      </c>
      <c r="D321" s="7">
        <v>75.349999999999994</v>
      </c>
      <c r="E321" s="40"/>
      <c r="F321" s="30">
        <f t="shared" si="19"/>
        <v>14574.65</v>
      </c>
      <c r="H321" s="7">
        <v>106.05</v>
      </c>
      <c r="I321" s="7">
        <v>143.9</v>
      </c>
      <c r="J321" s="7"/>
      <c r="K321" s="7"/>
      <c r="L321" s="7">
        <v>170.75</v>
      </c>
      <c r="M321" s="7">
        <v>87</v>
      </c>
      <c r="Q321" s="30"/>
      <c r="R321" s="73"/>
      <c r="S321" s="30">
        <f>R321*Q321</f>
        <v>0</v>
      </c>
      <c r="T321" s="40"/>
      <c r="U321" s="40"/>
      <c r="V321" s="40"/>
      <c r="W321" s="63">
        <v>0.54097222222222219</v>
      </c>
      <c r="X321" s="30">
        <v>18.7</v>
      </c>
      <c r="Y321" s="30">
        <v>53.4</v>
      </c>
    </row>
    <row r="322" spans="2:25" x14ac:dyDescent="0.3">
      <c r="B322" s="26">
        <f>B321-50</f>
        <v>14600</v>
      </c>
      <c r="C322" s="30">
        <v>59.15</v>
      </c>
      <c r="D322" s="23">
        <v>53.5</v>
      </c>
      <c r="E322" s="40"/>
      <c r="F322" s="50">
        <f t="shared" si="19"/>
        <v>14546.5</v>
      </c>
      <c r="H322" s="7">
        <v>78.150000000000006</v>
      </c>
      <c r="I322" s="7">
        <v>108.25</v>
      </c>
      <c r="J322" s="7"/>
      <c r="K322" s="7"/>
      <c r="L322" s="7">
        <v>132.5</v>
      </c>
      <c r="M322" s="7">
        <v>55.75</v>
      </c>
      <c r="Q322" s="30"/>
      <c r="R322" s="73"/>
      <c r="S322" s="30">
        <f>R322*Q322</f>
        <v>0</v>
      </c>
      <c r="T322" s="40"/>
      <c r="U322" s="40"/>
      <c r="V322" s="40"/>
      <c r="W322" s="63">
        <v>6.1805555555555558E-2</v>
      </c>
      <c r="X322" s="30">
        <v>15</v>
      </c>
      <c r="Y322" s="30">
        <v>61.75</v>
      </c>
    </row>
    <row r="323" spans="2:25" x14ac:dyDescent="0.3">
      <c r="B323" s="72">
        <f>B322-50</f>
        <v>14550</v>
      </c>
      <c r="C323" s="61">
        <v>41.6</v>
      </c>
      <c r="D323" s="7">
        <v>37.549999999999997</v>
      </c>
      <c r="E323" s="40"/>
      <c r="F323" s="30">
        <f t="shared" si="19"/>
        <v>14512.45</v>
      </c>
      <c r="H323" s="7">
        <v>55.75</v>
      </c>
      <c r="I323" s="7">
        <v>79.05</v>
      </c>
      <c r="J323" s="7"/>
      <c r="K323" s="7"/>
      <c r="L323" s="7">
        <v>97.1</v>
      </c>
      <c r="M323" s="7">
        <v>33.4</v>
      </c>
      <c r="Q323" s="30">
        <f>S323/R323</f>
        <v>81</v>
      </c>
      <c r="R323" s="73">
        <f>SUM(R320:R322)</f>
        <v>150</v>
      </c>
      <c r="S323" s="30">
        <f>SUM(S320:S322)</f>
        <v>12150</v>
      </c>
      <c r="W323" s="63">
        <v>8.2638888888888887E-2</v>
      </c>
      <c r="X323" s="30">
        <v>7.25</v>
      </c>
      <c r="Y323" s="30">
        <v>97.1</v>
      </c>
    </row>
    <row r="324" spans="2:25" x14ac:dyDescent="0.3">
      <c r="B324" s="26">
        <f>B323-50</f>
        <v>14500</v>
      </c>
      <c r="C324" s="30">
        <v>29.3</v>
      </c>
      <c r="D324" s="30">
        <v>26.4</v>
      </c>
      <c r="E324" s="40"/>
      <c r="F324" s="30">
        <f t="shared" si="19"/>
        <v>14473.6</v>
      </c>
      <c r="H324" s="7">
        <v>39.5</v>
      </c>
      <c r="I324" s="7">
        <v>55.5</v>
      </c>
      <c r="J324" s="7"/>
      <c r="K324" s="7"/>
      <c r="L324" s="7">
        <v>69.150000000000006</v>
      </c>
      <c r="M324" s="7">
        <v>19.649999999999999</v>
      </c>
      <c r="Q324" s="136" t="e">
        <f>S324/(R318-R323)</f>
        <v>#DIV/0!</v>
      </c>
      <c r="R324" s="137"/>
      <c r="S324" s="30">
        <f>S323-S318</f>
        <v>3787.5</v>
      </c>
      <c r="W324" s="63">
        <v>0.47430555555555554</v>
      </c>
      <c r="X324" s="30">
        <v>12.9</v>
      </c>
      <c r="Y324" s="23">
        <v>55.95</v>
      </c>
    </row>
    <row r="336" spans="2:25" x14ac:dyDescent="0.3">
      <c r="B336" s="40"/>
      <c r="C336" s="50">
        <f>B337+E337</f>
        <v>14580</v>
      </c>
      <c r="D336" s="51">
        <f>C336+E337</f>
        <v>14620</v>
      </c>
      <c r="E336" s="21"/>
      <c r="F336" s="21"/>
      <c r="H336" s="52" t="str">
        <f>IF((C345-D345)&gt;(C354-D354),"LONG",IF(C354&gt;D352,"LONG","SHORT"))</f>
        <v>SHORT</v>
      </c>
      <c r="I336" s="138" t="s">
        <v>82</v>
      </c>
      <c r="J336" s="139"/>
      <c r="K336" s="140"/>
      <c r="L336" s="53">
        <f>AVERAGE(L337:L338)</f>
        <v>191.5</v>
      </c>
      <c r="Q336" s="54">
        <v>0.39166666666666666</v>
      </c>
      <c r="R336" s="54">
        <v>0.39861111111111108</v>
      </c>
      <c r="S336" s="54">
        <v>0.4055555555555555</v>
      </c>
      <c r="T336" s="54">
        <v>0.41250000000000003</v>
      </c>
      <c r="U336" s="55"/>
      <c r="W336" s="34" t="s">
        <v>68</v>
      </c>
      <c r="X336" s="56" t="s">
        <v>69</v>
      </c>
      <c r="Y336" s="57" t="s">
        <v>70</v>
      </c>
    </row>
    <row r="337" spans="2:25" x14ac:dyDescent="0.3">
      <c r="B337" s="50">
        <v>14540</v>
      </c>
      <c r="C337" s="40"/>
      <c r="D337" s="58"/>
      <c r="E337" s="59">
        <f>ROUND((((B337*F337%)/4)/10),0)*10</f>
        <v>40</v>
      </c>
      <c r="F337" s="51">
        <v>1.22</v>
      </c>
      <c r="H337" s="60" t="s">
        <v>69</v>
      </c>
      <c r="I337" s="61">
        <f>AVERAGE(C354,C343)</f>
        <v>166.95</v>
      </c>
      <c r="J337" s="61">
        <f>AVERAGE(C354,C344)</f>
        <v>151.07499999999999</v>
      </c>
      <c r="K337" s="61">
        <f>AVERAGE(C354,C345)</f>
        <v>138.4</v>
      </c>
      <c r="L337" s="61">
        <f>C343</f>
        <v>198</v>
      </c>
      <c r="Q337" s="51">
        <v>14578.6</v>
      </c>
      <c r="R337" s="51">
        <v>14550.3</v>
      </c>
      <c r="S337" s="51">
        <v>14524</v>
      </c>
      <c r="T337" s="51">
        <v>14527.1</v>
      </c>
      <c r="U337" s="62"/>
      <c r="W337" s="63">
        <v>0.41597222222222219</v>
      </c>
      <c r="X337" s="30">
        <v>140.9</v>
      </c>
      <c r="Y337" s="30">
        <v>135.9</v>
      </c>
    </row>
    <row r="338" spans="2:25" x14ac:dyDescent="0.3">
      <c r="B338" s="40"/>
      <c r="C338" s="50">
        <f>B337-E337</f>
        <v>14500</v>
      </c>
      <c r="D338" s="51">
        <f>C338-E337</f>
        <v>14460</v>
      </c>
      <c r="E338" s="21"/>
      <c r="F338" s="21"/>
      <c r="H338" s="60" t="s">
        <v>70</v>
      </c>
      <c r="I338" s="61">
        <f>AVERAGE(C345,C352)</f>
        <v>162.94999999999999</v>
      </c>
      <c r="J338" s="61">
        <f>AVERAGE(C345,C353)</f>
        <v>149.67500000000001</v>
      </c>
      <c r="K338" s="61">
        <f>AVERAGE(C345,C354)</f>
        <v>138.4</v>
      </c>
      <c r="L338" s="61">
        <f>C352</f>
        <v>185</v>
      </c>
      <c r="W338" s="63">
        <v>0.4368055555555555</v>
      </c>
      <c r="X338" s="30">
        <v>143.15</v>
      </c>
      <c r="Y338" s="30">
        <v>125.95</v>
      </c>
    </row>
    <row r="339" spans="2:25" x14ac:dyDescent="0.3">
      <c r="F339" s="40"/>
      <c r="G339" s="40"/>
      <c r="K339" s="40"/>
      <c r="W339" s="63">
        <v>0.45763888888888887</v>
      </c>
      <c r="X339" s="30">
        <v>144.5</v>
      </c>
      <c r="Y339" s="30">
        <v>122.85</v>
      </c>
    </row>
    <row r="340" spans="2:25" x14ac:dyDescent="0.3">
      <c r="B340" s="40"/>
      <c r="W340" s="63">
        <v>0.47847222222222219</v>
      </c>
      <c r="X340" s="30">
        <v>168.1</v>
      </c>
      <c r="Y340" s="30">
        <v>98.45</v>
      </c>
    </row>
    <row r="341" spans="2:25" x14ac:dyDescent="0.3">
      <c r="C341" s="64">
        <v>44210</v>
      </c>
      <c r="F341" s="30">
        <f>AVERAGE(F343,F352)</f>
        <v>14539.15</v>
      </c>
      <c r="G341" s="65"/>
      <c r="H341" s="66">
        <v>7.9861111111111105E-2</v>
      </c>
      <c r="I341" s="66"/>
      <c r="J341" s="66"/>
      <c r="K341" s="66"/>
      <c r="L341" s="67">
        <v>8.3333333333333329E-2</v>
      </c>
      <c r="M341" s="67">
        <v>0.13541666666666666</v>
      </c>
      <c r="Q341" s="132" t="s">
        <v>71</v>
      </c>
      <c r="R341" s="132"/>
      <c r="S341" s="132" t="s">
        <v>37</v>
      </c>
      <c r="T341" s="132"/>
      <c r="U341" s="69"/>
      <c r="W341" s="63">
        <v>0.4993055555555555</v>
      </c>
      <c r="X341" s="30">
        <v>159</v>
      </c>
      <c r="Y341" s="30">
        <v>103.15</v>
      </c>
    </row>
    <row r="342" spans="2:25" x14ac:dyDescent="0.3">
      <c r="B342" s="34" t="s">
        <v>68</v>
      </c>
      <c r="C342" s="63">
        <v>0.41666666666666669</v>
      </c>
      <c r="D342" s="63">
        <v>0.40902777777777777</v>
      </c>
      <c r="H342" s="23">
        <v>96.2</v>
      </c>
      <c r="I342" s="7"/>
      <c r="J342" s="7"/>
      <c r="K342" s="7"/>
      <c r="L342" s="7">
        <v>14628.15</v>
      </c>
      <c r="M342" s="7">
        <v>14623.5</v>
      </c>
      <c r="Q342" s="61">
        <f>R342-(S342-R342)</f>
        <v>13883.05</v>
      </c>
      <c r="R342" s="61">
        <v>14265.5</v>
      </c>
      <c r="S342" s="61">
        <v>14647.95</v>
      </c>
      <c r="T342" s="61">
        <f>S342+(S342-R342)</f>
        <v>15030.400000000001</v>
      </c>
      <c r="U342" s="71"/>
      <c r="W342" s="63">
        <v>0.52013888888888882</v>
      </c>
      <c r="X342" s="30">
        <v>169.35</v>
      </c>
      <c r="Y342" s="30">
        <v>94.3</v>
      </c>
    </row>
    <row r="343" spans="2:25" x14ac:dyDescent="0.3">
      <c r="B343" s="26">
        <f>B344-50</f>
        <v>14450</v>
      </c>
      <c r="C343" s="30">
        <v>198</v>
      </c>
      <c r="D343" s="30">
        <v>182.3</v>
      </c>
      <c r="E343" s="40"/>
      <c r="F343" s="30">
        <f t="shared" ref="F343:F348" si="20">B343+D343</f>
        <v>14632.3</v>
      </c>
      <c r="H343" s="7">
        <v>249.8</v>
      </c>
      <c r="I343" s="7"/>
      <c r="J343" s="7"/>
      <c r="K343" s="7"/>
      <c r="L343" s="7">
        <v>242.9</v>
      </c>
      <c r="M343" s="7">
        <v>238.25</v>
      </c>
      <c r="R343" s="40"/>
      <c r="S343" s="40"/>
      <c r="W343" s="63">
        <v>0.54097222222222219</v>
      </c>
      <c r="X343" s="30">
        <v>160.30000000000001</v>
      </c>
      <c r="Y343" s="30">
        <v>97.95</v>
      </c>
    </row>
    <row r="344" spans="2:25" x14ac:dyDescent="0.3">
      <c r="B344" s="26">
        <f>B345-50</f>
        <v>14500</v>
      </c>
      <c r="C344" s="30">
        <v>166.25</v>
      </c>
      <c r="D344" s="30">
        <v>152.25</v>
      </c>
      <c r="E344" s="40"/>
      <c r="F344" s="30">
        <f t="shared" si="20"/>
        <v>14652.25</v>
      </c>
      <c r="H344" s="7">
        <v>210.7</v>
      </c>
      <c r="I344" s="7"/>
      <c r="J344" s="7"/>
      <c r="K344" s="7"/>
      <c r="L344" s="7">
        <v>205.5</v>
      </c>
      <c r="M344" s="7">
        <v>202.7</v>
      </c>
      <c r="W344" s="63">
        <v>6.1805555555555558E-2</v>
      </c>
      <c r="X344" s="30">
        <v>158.30000000000001</v>
      </c>
      <c r="Y344" s="30">
        <v>98.65</v>
      </c>
    </row>
    <row r="345" spans="2:25" x14ac:dyDescent="0.3">
      <c r="B345" s="26">
        <v>14550</v>
      </c>
      <c r="C345" s="30">
        <v>140.9</v>
      </c>
      <c r="D345" s="30">
        <v>126.3</v>
      </c>
      <c r="E345" s="40"/>
      <c r="F345" s="30">
        <f t="shared" si="20"/>
        <v>14676.3</v>
      </c>
      <c r="H345" s="7">
        <v>178.25</v>
      </c>
      <c r="I345" s="7"/>
      <c r="J345" s="7"/>
      <c r="K345" s="7"/>
      <c r="L345" s="7">
        <v>173</v>
      </c>
      <c r="M345" s="7">
        <v>170.4</v>
      </c>
      <c r="W345" s="63">
        <v>8.2638888888888887E-2</v>
      </c>
      <c r="X345" s="30">
        <v>173</v>
      </c>
      <c r="Y345" s="30">
        <v>85.75</v>
      </c>
    </row>
    <row r="346" spans="2:25" x14ac:dyDescent="0.3">
      <c r="B346" s="26">
        <f>B345+50</f>
        <v>14600</v>
      </c>
      <c r="C346" s="30">
        <v>115.2</v>
      </c>
      <c r="D346" s="23">
        <v>103.5</v>
      </c>
      <c r="E346" s="40"/>
      <c r="F346" s="50">
        <f t="shared" si="20"/>
        <v>14703.5</v>
      </c>
      <c r="H346" s="7">
        <v>147</v>
      </c>
      <c r="I346" s="7"/>
      <c r="J346" s="7"/>
      <c r="K346" s="7"/>
      <c r="L346" s="7">
        <v>143.25</v>
      </c>
      <c r="M346" s="7">
        <v>140.25</v>
      </c>
    </row>
    <row r="347" spans="2:25" x14ac:dyDescent="0.3">
      <c r="B347" s="72">
        <f>B346+50</f>
        <v>14650</v>
      </c>
      <c r="C347" s="30">
        <v>94.2</v>
      </c>
      <c r="D347" s="30">
        <v>82.75</v>
      </c>
      <c r="E347" s="40"/>
      <c r="F347" s="30">
        <f t="shared" si="20"/>
        <v>14732.75</v>
      </c>
      <c r="H347" s="7">
        <v>119.85</v>
      </c>
      <c r="I347" s="7"/>
      <c r="J347" s="7"/>
      <c r="K347" s="7"/>
      <c r="L347" s="7">
        <v>116.65</v>
      </c>
      <c r="M347" s="7">
        <v>113.6</v>
      </c>
      <c r="Q347" s="133" t="s">
        <v>72</v>
      </c>
      <c r="R347" s="134"/>
      <c r="S347" s="135"/>
      <c r="W347" s="34" t="s">
        <v>68</v>
      </c>
      <c r="X347" s="56" t="s">
        <v>69</v>
      </c>
      <c r="Y347" s="57" t="s">
        <v>70</v>
      </c>
    </row>
    <row r="348" spans="2:25" x14ac:dyDescent="0.3">
      <c r="B348" s="26">
        <f>B347+50</f>
        <v>14700</v>
      </c>
      <c r="C348" s="61">
        <v>74.25</v>
      </c>
      <c r="D348" s="30">
        <v>65</v>
      </c>
      <c r="E348" s="40"/>
      <c r="F348" s="30">
        <f t="shared" si="20"/>
        <v>14765</v>
      </c>
      <c r="H348" s="7">
        <v>95.95</v>
      </c>
      <c r="I348" s="7"/>
      <c r="J348" s="7"/>
      <c r="K348" s="7"/>
      <c r="L348" s="7">
        <v>93.2</v>
      </c>
      <c r="M348" s="7">
        <v>89.7</v>
      </c>
      <c r="Q348" s="30">
        <v>95.95</v>
      </c>
      <c r="R348" s="73">
        <v>150</v>
      </c>
      <c r="S348" s="30">
        <f>R348*Q348</f>
        <v>14392.5</v>
      </c>
      <c r="W348" s="63">
        <v>0.41597222222222219</v>
      </c>
      <c r="X348" s="30">
        <v>74.25</v>
      </c>
      <c r="Y348" s="30">
        <v>98.25</v>
      </c>
    </row>
    <row r="349" spans="2:25" x14ac:dyDescent="0.3">
      <c r="E349" s="40">
        <f>F349-(G349-F349)</f>
        <v>77.174999999999983</v>
      </c>
      <c r="F349" s="40">
        <f>AVERAGE(C347,C356)</f>
        <v>96.224999999999994</v>
      </c>
      <c r="G349" s="40">
        <f>AVERAGE(C346,C355)</f>
        <v>115.27500000000001</v>
      </c>
      <c r="H349" s="17"/>
      <c r="I349" s="17"/>
      <c r="J349" s="17"/>
      <c r="K349" s="76"/>
      <c r="L349" s="17"/>
      <c r="M349" s="17"/>
      <c r="Q349" s="30"/>
      <c r="R349" s="73"/>
      <c r="S349" s="30">
        <f>R349*Q349</f>
        <v>0</v>
      </c>
      <c r="W349" s="63">
        <v>0.4368055555555555</v>
      </c>
      <c r="X349" s="30">
        <v>74.95</v>
      </c>
      <c r="Y349" s="30">
        <v>90.8</v>
      </c>
    </row>
    <row r="350" spans="2:25" x14ac:dyDescent="0.3">
      <c r="C350" s="64">
        <v>43851</v>
      </c>
      <c r="E350" s="40"/>
      <c r="F350" s="40"/>
      <c r="G350" s="40"/>
      <c r="H350" s="66">
        <v>7.9861111111111105E-2</v>
      </c>
      <c r="I350" s="66"/>
      <c r="J350" s="66"/>
      <c r="K350" s="66"/>
      <c r="L350" s="67">
        <v>8.3333333333333329E-2</v>
      </c>
      <c r="M350" s="67">
        <v>0.13541666666666666</v>
      </c>
      <c r="Q350" s="30"/>
      <c r="R350" s="73"/>
      <c r="S350" s="30">
        <f>R350*Q350</f>
        <v>0</v>
      </c>
      <c r="W350" s="63">
        <v>0.45763888888888887</v>
      </c>
      <c r="X350" s="30">
        <v>74.75</v>
      </c>
      <c r="Y350" s="30">
        <v>87.95</v>
      </c>
    </row>
    <row r="351" spans="2:25" x14ac:dyDescent="0.3">
      <c r="B351" s="34" t="s">
        <v>68</v>
      </c>
      <c r="C351" s="63">
        <v>0.41666666666666669</v>
      </c>
      <c r="D351" s="63">
        <v>0.3923611111111111</v>
      </c>
      <c r="E351" s="40">
        <f>F351-(G351-F351)</f>
        <v>92.15</v>
      </c>
      <c r="F351" s="40">
        <f>AVERAGE(C355,C346)</f>
        <v>115.27500000000001</v>
      </c>
      <c r="G351" s="40">
        <f>AVERAGE(C354,C345)</f>
        <v>138.4</v>
      </c>
      <c r="H351" s="7">
        <v>14637.05</v>
      </c>
      <c r="I351" s="7"/>
      <c r="J351" s="7"/>
      <c r="K351" s="7"/>
      <c r="L351" s="7">
        <v>14628.15</v>
      </c>
      <c r="M351" s="7">
        <v>14623.5</v>
      </c>
      <c r="Q351" s="30">
        <f>S351/R351</f>
        <v>95.95</v>
      </c>
      <c r="R351" s="73">
        <f>SUM(R348:R350)</f>
        <v>150</v>
      </c>
      <c r="S351" s="30">
        <f>SUM(S348:S350)</f>
        <v>14392.5</v>
      </c>
      <c r="V351" s="40"/>
      <c r="W351" s="63">
        <v>0.47847222222222219</v>
      </c>
      <c r="X351" s="30">
        <v>92</v>
      </c>
      <c r="Y351" s="30">
        <v>68.599999999999994</v>
      </c>
    </row>
    <row r="352" spans="2:25" x14ac:dyDescent="0.3">
      <c r="B352" s="26">
        <f>B353+50</f>
        <v>14600</v>
      </c>
      <c r="C352" s="30">
        <v>185</v>
      </c>
      <c r="D352" s="30">
        <v>154</v>
      </c>
      <c r="E352" s="40"/>
      <c r="F352" s="30">
        <f t="shared" ref="F352:F357" si="21">B352-D352</f>
        <v>14446</v>
      </c>
      <c r="H352" s="7">
        <v>120</v>
      </c>
      <c r="I352" s="7"/>
      <c r="J352" s="7"/>
      <c r="K352" s="7"/>
      <c r="L352" s="7">
        <v>123.7</v>
      </c>
      <c r="M352" s="7">
        <v>124.9</v>
      </c>
      <c r="P352" s="50">
        <f>S357</f>
        <v>-937.5</v>
      </c>
      <c r="Q352" s="57" t="s">
        <v>72</v>
      </c>
      <c r="S352" s="57" t="s">
        <v>73</v>
      </c>
      <c r="T352" s="23">
        <f>((X348+Y348)-(X357+Y357))</f>
        <v>16.599999999999994</v>
      </c>
      <c r="U352" s="23"/>
      <c r="V352" s="50">
        <f>T352*225</f>
        <v>3734.9999999999986</v>
      </c>
      <c r="W352" s="63">
        <v>0.4993055555555555</v>
      </c>
      <c r="X352" s="30">
        <v>86</v>
      </c>
      <c r="Y352" s="30">
        <v>71.150000000000006</v>
      </c>
    </row>
    <row r="353" spans="2:25" x14ac:dyDescent="0.3">
      <c r="B353" s="26">
        <f>B354+50</f>
        <v>14550</v>
      </c>
      <c r="C353" s="30">
        <v>158.44999999999999</v>
      </c>
      <c r="D353" s="7">
        <v>130.94999999999999</v>
      </c>
      <c r="E353" s="40"/>
      <c r="F353" s="30">
        <f t="shared" si="21"/>
        <v>14419.05</v>
      </c>
      <c r="H353" s="7">
        <v>100.5</v>
      </c>
      <c r="I353" s="7"/>
      <c r="J353" s="7"/>
      <c r="K353" s="7"/>
      <c r="L353" s="7">
        <v>103.8</v>
      </c>
      <c r="M353" s="7">
        <v>104.15</v>
      </c>
      <c r="Q353" s="30">
        <v>89.7</v>
      </c>
      <c r="R353" s="73">
        <v>150</v>
      </c>
      <c r="S353" s="30">
        <f>R353*Q353</f>
        <v>13455</v>
      </c>
      <c r="W353" s="63">
        <v>0.52013888888888882</v>
      </c>
      <c r="X353" s="30">
        <v>91.7</v>
      </c>
      <c r="Y353" s="30">
        <v>65.2</v>
      </c>
    </row>
    <row r="354" spans="2:25" x14ac:dyDescent="0.3">
      <c r="B354" s="26">
        <v>14500</v>
      </c>
      <c r="C354" s="30">
        <v>135.9</v>
      </c>
      <c r="D354" s="7">
        <v>111.45</v>
      </c>
      <c r="E354" s="40"/>
      <c r="F354" s="30">
        <f t="shared" si="21"/>
        <v>14388.55</v>
      </c>
      <c r="H354" s="7">
        <v>83.25</v>
      </c>
      <c r="I354" s="7"/>
      <c r="J354" s="7"/>
      <c r="K354" s="7"/>
      <c r="L354" s="7">
        <v>85.75</v>
      </c>
      <c r="M354" s="7">
        <v>87.25</v>
      </c>
      <c r="Q354" s="30"/>
      <c r="R354" s="73"/>
      <c r="S354" s="30">
        <f>R354*Q354</f>
        <v>0</v>
      </c>
      <c r="T354" s="40"/>
      <c r="U354" s="40"/>
      <c r="V354" s="40"/>
      <c r="W354" s="63">
        <v>0.54097222222222219</v>
      </c>
      <c r="X354" s="30">
        <v>85.45</v>
      </c>
      <c r="Y354" s="30">
        <v>67.75</v>
      </c>
    </row>
    <row r="355" spans="2:25" x14ac:dyDescent="0.3">
      <c r="B355" s="26">
        <f>B354-50</f>
        <v>14450</v>
      </c>
      <c r="C355" s="30">
        <v>115.35</v>
      </c>
      <c r="D355" s="7">
        <v>93.25</v>
      </c>
      <c r="E355" s="40"/>
      <c r="F355" s="50">
        <f t="shared" si="21"/>
        <v>14356.75</v>
      </c>
      <c r="H355" s="7">
        <v>69.099999999999994</v>
      </c>
      <c r="I355" s="7"/>
      <c r="J355" s="7"/>
      <c r="K355" s="7"/>
      <c r="L355" s="7">
        <v>71.25</v>
      </c>
      <c r="M355" s="7">
        <v>72.25</v>
      </c>
      <c r="Q355" s="30"/>
      <c r="R355" s="73"/>
      <c r="S355" s="30">
        <f>R355*Q355</f>
        <v>0</v>
      </c>
      <c r="T355" s="40"/>
      <c r="U355" s="40"/>
      <c r="V355" s="40"/>
      <c r="W355" s="63">
        <v>6.1805555555555558E-2</v>
      </c>
      <c r="X355" s="30">
        <v>84</v>
      </c>
      <c r="Y355" s="30">
        <v>67.7</v>
      </c>
    </row>
    <row r="356" spans="2:25" x14ac:dyDescent="0.3">
      <c r="B356" s="72">
        <f>B355-50</f>
        <v>14400</v>
      </c>
      <c r="C356" s="61">
        <v>98.25</v>
      </c>
      <c r="D356" s="30">
        <v>79</v>
      </c>
      <c r="E356" s="40"/>
      <c r="F356" s="30">
        <f t="shared" si="21"/>
        <v>14321</v>
      </c>
      <c r="H356" s="7">
        <v>57.4</v>
      </c>
      <c r="I356" s="7"/>
      <c r="J356" s="7"/>
      <c r="K356" s="7"/>
      <c r="L356" s="7">
        <v>58.9</v>
      </c>
      <c r="M356" s="7">
        <v>59.7</v>
      </c>
      <c r="Q356" s="30">
        <f>S356/R356</f>
        <v>89.7</v>
      </c>
      <c r="R356" s="73">
        <f>SUM(R353:R355)</f>
        <v>150</v>
      </c>
      <c r="S356" s="30">
        <f>SUM(S353:S355)</f>
        <v>13455</v>
      </c>
      <c r="W356" s="63">
        <v>8.2638888888888887E-2</v>
      </c>
      <c r="X356" s="30">
        <v>93.2</v>
      </c>
      <c r="Y356" s="30">
        <v>58.9</v>
      </c>
    </row>
    <row r="357" spans="2:25" x14ac:dyDescent="0.3">
      <c r="B357" s="26">
        <f>B356-50</f>
        <v>14350</v>
      </c>
      <c r="C357" s="30">
        <v>83.2</v>
      </c>
      <c r="D357" s="30">
        <v>66.2</v>
      </c>
      <c r="E357" s="40"/>
      <c r="F357" s="30">
        <f t="shared" si="21"/>
        <v>14283.8</v>
      </c>
      <c r="H357" s="7">
        <v>48.2</v>
      </c>
      <c r="I357" s="7"/>
      <c r="J357" s="7"/>
      <c r="K357" s="7"/>
      <c r="L357" s="7">
        <v>49.3</v>
      </c>
      <c r="M357" s="7">
        <v>49.85</v>
      </c>
      <c r="Q357" s="136" t="e">
        <f>S357/(R351-R356)</f>
        <v>#DIV/0!</v>
      </c>
      <c r="R357" s="137"/>
      <c r="S357" s="30">
        <f>S356-S351</f>
        <v>-937.5</v>
      </c>
      <c r="W357" s="63">
        <v>7.9861111111111105E-2</v>
      </c>
      <c r="X357" s="23">
        <v>96.2</v>
      </c>
      <c r="Y357" s="30">
        <v>59.7</v>
      </c>
    </row>
    <row r="369" spans="2:25" x14ac:dyDescent="0.3">
      <c r="B369" s="40"/>
      <c r="C369" s="50">
        <f>B370+E370</f>
        <v>14587.25</v>
      </c>
      <c r="D369" s="51">
        <f>C369+E370</f>
        <v>14627.25</v>
      </c>
      <c r="E369" s="21"/>
      <c r="F369" s="21"/>
      <c r="H369" s="52" t="str">
        <f>IF((C378-D378)&gt;(C387-D387),"LONG",IF(C387&gt;D385,"LONG","SHORT"))</f>
        <v>SHORT</v>
      </c>
      <c r="I369" s="138" t="s">
        <v>83</v>
      </c>
      <c r="J369" s="139"/>
      <c r="K369" s="140"/>
      <c r="L369" s="53">
        <f>AVERAGE(L370:L371)</f>
        <v>198.8</v>
      </c>
      <c r="Q369" s="54">
        <v>0.39166666666666666</v>
      </c>
      <c r="R369" s="54">
        <v>0.39861111111111108</v>
      </c>
      <c r="S369" s="54">
        <v>0.4055555555555555</v>
      </c>
      <c r="T369" s="54">
        <v>0.41250000000000003</v>
      </c>
      <c r="U369" s="55"/>
      <c r="W369" s="34" t="s">
        <v>68</v>
      </c>
      <c r="X369" s="56" t="s">
        <v>69</v>
      </c>
      <c r="Y369" s="57" t="s">
        <v>70</v>
      </c>
    </row>
    <row r="370" spans="2:25" x14ac:dyDescent="0.3">
      <c r="B370" s="50">
        <v>14547.25</v>
      </c>
      <c r="C370" s="40"/>
      <c r="D370" s="58"/>
      <c r="E370" s="59">
        <f>ROUND((((B370*F370%)/4)/10),0)*10</f>
        <v>40</v>
      </c>
      <c r="F370" s="51">
        <v>1.23</v>
      </c>
      <c r="H370" s="60" t="s">
        <v>69</v>
      </c>
      <c r="I370" s="61">
        <f>AVERAGE(C387,C376)</f>
        <v>172.5</v>
      </c>
      <c r="J370" s="61">
        <f>AVERAGE(C387,C377)</f>
        <v>156.75</v>
      </c>
      <c r="K370" s="61">
        <f>AVERAGE(C387,C378)</f>
        <v>142.92500000000001</v>
      </c>
      <c r="L370" s="61">
        <f>C376</f>
        <v>195</v>
      </c>
      <c r="Q370" s="51">
        <v>14589.3</v>
      </c>
      <c r="R370" s="51">
        <v>14557.35</v>
      </c>
      <c r="S370" s="51">
        <v>14528.45</v>
      </c>
      <c r="T370" s="51">
        <v>14539.9</v>
      </c>
      <c r="U370" s="62"/>
      <c r="W370" s="63">
        <v>0.41597222222222219</v>
      </c>
      <c r="X370" s="30">
        <v>135.85</v>
      </c>
      <c r="Y370" s="30">
        <v>150</v>
      </c>
    </row>
    <row r="371" spans="2:25" x14ac:dyDescent="0.3">
      <c r="B371" s="40"/>
      <c r="C371" s="50">
        <f>B370-E370</f>
        <v>14507.25</v>
      </c>
      <c r="D371" s="51">
        <f>C371-E370</f>
        <v>14467.25</v>
      </c>
      <c r="E371" s="21"/>
      <c r="F371" s="21"/>
      <c r="H371" s="60" t="s">
        <v>70</v>
      </c>
      <c r="I371" s="61">
        <f>AVERAGE(C378,C385)</f>
        <v>169.22499999999999</v>
      </c>
      <c r="J371" s="61">
        <f>AVERAGE(C378,C386)</f>
        <v>155.55000000000001</v>
      </c>
      <c r="K371" s="61">
        <f>AVERAGE(C378,C387)</f>
        <v>142.92500000000001</v>
      </c>
      <c r="L371" s="61">
        <f>C385</f>
        <v>202.6</v>
      </c>
      <c r="W371" s="63">
        <v>0.4368055555555555</v>
      </c>
      <c r="X371" s="30">
        <v>132.25</v>
      </c>
      <c r="Y371" s="30">
        <v>152.35</v>
      </c>
    </row>
    <row r="372" spans="2:25" x14ac:dyDescent="0.3">
      <c r="F372" s="40"/>
      <c r="G372" s="40"/>
      <c r="K372" s="40"/>
      <c r="W372" s="63">
        <v>0.45763888888888887</v>
      </c>
      <c r="X372" s="30">
        <v>124</v>
      </c>
      <c r="Y372" s="30">
        <v>167.85</v>
      </c>
    </row>
    <row r="373" spans="2:25" x14ac:dyDescent="0.3">
      <c r="B373" s="40"/>
      <c r="W373" s="63">
        <v>0.47847222222222219</v>
      </c>
      <c r="X373" s="30">
        <v>114.55</v>
      </c>
      <c r="Y373" s="30">
        <v>204.9</v>
      </c>
    </row>
    <row r="374" spans="2:25" x14ac:dyDescent="0.3">
      <c r="C374" s="64">
        <v>44211</v>
      </c>
      <c r="F374" s="30">
        <f>AVERAGE(F376,F385)</f>
        <v>14560.95</v>
      </c>
      <c r="G374" s="65"/>
      <c r="H374" s="66">
        <v>0.44305555555555554</v>
      </c>
      <c r="I374" s="66">
        <v>0.46458333333333335</v>
      </c>
      <c r="J374" s="66"/>
      <c r="K374" s="66"/>
      <c r="L374" s="67">
        <v>8.3333333333333329E-2</v>
      </c>
      <c r="M374" s="67">
        <v>0.13541666666666666</v>
      </c>
      <c r="Q374" s="132" t="s">
        <v>71</v>
      </c>
      <c r="R374" s="132"/>
      <c r="S374" s="132" t="s">
        <v>37</v>
      </c>
      <c r="T374" s="132"/>
      <c r="U374" s="69"/>
      <c r="W374" s="63">
        <v>0.4993055555555555</v>
      </c>
      <c r="X374" s="30">
        <v>126.2</v>
      </c>
      <c r="Y374" s="30">
        <v>166.95</v>
      </c>
    </row>
    <row r="375" spans="2:25" x14ac:dyDescent="0.3">
      <c r="B375" s="34" t="s">
        <v>68</v>
      </c>
      <c r="C375" s="63">
        <v>0.41666666666666669</v>
      </c>
      <c r="D375" s="63">
        <v>0.4069444444444445</v>
      </c>
      <c r="H375" s="7"/>
      <c r="I375" s="7"/>
      <c r="J375" s="7"/>
      <c r="K375" s="7"/>
      <c r="L375" s="7"/>
      <c r="M375" s="7"/>
      <c r="Q375" s="61">
        <f>R375-(S375-R375)</f>
        <v>14163.55</v>
      </c>
      <c r="R375" s="61">
        <v>14405.75</v>
      </c>
      <c r="S375" s="61">
        <v>14647.95</v>
      </c>
      <c r="T375" s="61">
        <f>S375+(S375-R375)</f>
        <v>14890.150000000001</v>
      </c>
      <c r="U375" s="71"/>
      <c r="W375" s="63">
        <v>0.52013888888888882</v>
      </c>
      <c r="X375" s="30">
        <v>129.35</v>
      </c>
      <c r="Y375" s="30">
        <v>154</v>
      </c>
    </row>
    <row r="376" spans="2:25" x14ac:dyDescent="0.3">
      <c r="B376" s="26">
        <f>B377-50</f>
        <v>14450</v>
      </c>
      <c r="C376" s="30">
        <v>195</v>
      </c>
      <c r="D376" s="30">
        <v>177.05</v>
      </c>
      <c r="E376" s="40"/>
      <c r="F376" s="30">
        <f t="shared" ref="F376:F381" si="22">B376+D376</f>
        <v>14627.05</v>
      </c>
      <c r="H376" s="7">
        <v>178.45</v>
      </c>
      <c r="I376" s="7">
        <v>168.15</v>
      </c>
      <c r="J376" s="7"/>
      <c r="K376" s="7"/>
      <c r="L376" s="7">
        <v>155.25</v>
      </c>
      <c r="M376" s="7">
        <v>143.69999999999999</v>
      </c>
      <c r="R376" s="40"/>
      <c r="S376" s="40"/>
      <c r="W376" s="63">
        <v>0.54097222222222219</v>
      </c>
      <c r="X376" s="30">
        <v>130</v>
      </c>
      <c r="Y376" s="30">
        <v>144.44999999999999</v>
      </c>
    </row>
    <row r="377" spans="2:25" x14ac:dyDescent="0.3">
      <c r="B377" s="26">
        <f>B378-50</f>
        <v>14500</v>
      </c>
      <c r="C377" s="30">
        <v>163.5</v>
      </c>
      <c r="D377" s="30">
        <v>148.55000000000001</v>
      </c>
      <c r="E377" s="40"/>
      <c r="F377" s="30">
        <f t="shared" si="22"/>
        <v>14648.55</v>
      </c>
      <c r="H377" s="7">
        <v>149</v>
      </c>
      <c r="I377" s="7">
        <v>140.94999999999999</v>
      </c>
      <c r="J377" s="7"/>
      <c r="K377" s="7"/>
      <c r="L377" s="7">
        <v>128.44999999999999</v>
      </c>
      <c r="M377" s="7">
        <v>116.7</v>
      </c>
      <c r="W377" s="63">
        <v>6.1805555555555558E-2</v>
      </c>
      <c r="X377" s="30">
        <v>124.85</v>
      </c>
      <c r="Y377" s="30">
        <v>151.69999999999999</v>
      </c>
    </row>
    <row r="378" spans="2:25" x14ac:dyDescent="0.3">
      <c r="B378" s="26">
        <v>14550</v>
      </c>
      <c r="C378" s="30">
        <v>135.85</v>
      </c>
      <c r="D378" s="30">
        <v>122.45</v>
      </c>
      <c r="E378" s="40"/>
      <c r="F378" s="30">
        <f t="shared" si="22"/>
        <v>14672.45</v>
      </c>
      <c r="H378" s="7">
        <v>122.95</v>
      </c>
      <c r="I378" s="7">
        <v>115.3</v>
      </c>
      <c r="J378" s="7"/>
      <c r="K378" s="7"/>
      <c r="L378" s="7">
        <v>105.65</v>
      </c>
      <c r="M378" s="7">
        <v>94.15</v>
      </c>
      <c r="W378" s="63">
        <v>8.2638888888888887E-2</v>
      </c>
      <c r="X378" s="30">
        <v>105.65</v>
      </c>
      <c r="Y378" s="30">
        <v>191</v>
      </c>
    </row>
    <row r="379" spans="2:25" x14ac:dyDescent="0.3">
      <c r="B379" s="26">
        <f>B378+50</f>
        <v>14600</v>
      </c>
      <c r="C379" s="30">
        <v>110</v>
      </c>
      <c r="D379" s="23">
        <v>98.8</v>
      </c>
      <c r="E379" s="40"/>
      <c r="F379" s="50">
        <f t="shared" si="22"/>
        <v>14698.8</v>
      </c>
      <c r="H379" s="7">
        <v>99.7</v>
      </c>
      <c r="I379" s="7">
        <v>93.15</v>
      </c>
      <c r="J379" s="7"/>
      <c r="K379" s="7"/>
      <c r="L379" s="7">
        <v>84</v>
      </c>
      <c r="M379" s="7">
        <v>73.95</v>
      </c>
    </row>
    <row r="380" spans="2:25" x14ac:dyDescent="0.3">
      <c r="B380" s="72">
        <f>B379+50</f>
        <v>14650</v>
      </c>
      <c r="C380" s="61">
        <v>87.45</v>
      </c>
      <c r="D380" s="30">
        <v>78.349999999999994</v>
      </c>
      <c r="E380" s="40"/>
      <c r="F380" s="30">
        <f t="shared" si="22"/>
        <v>14728.35</v>
      </c>
      <c r="H380" s="7">
        <v>79</v>
      </c>
      <c r="I380" s="7">
        <v>74.150000000000006</v>
      </c>
      <c r="J380" s="7"/>
      <c r="K380" s="7"/>
      <c r="L380" s="7">
        <v>66.400000000000006</v>
      </c>
      <c r="M380" s="7">
        <v>56.8</v>
      </c>
      <c r="Q380" s="133" t="s">
        <v>72</v>
      </c>
      <c r="R380" s="134"/>
      <c r="S380" s="135"/>
      <c r="W380" s="34" t="s">
        <v>68</v>
      </c>
      <c r="X380" s="56" t="s">
        <v>69</v>
      </c>
      <c r="Y380" s="57" t="s">
        <v>70</v>
      </c>
    </row>
    <row r="381" spans="2:25" x14ac:dyDescent="0.3">
      <c r="B381" s="26">
        <f>B380+50</f>
        <v>14700</v>
      </c>
      <c r="C381" s="30">
        <v>68.099999999999994</v>
      </c>
      <c r="D381" s="30">
        <v>60.55</v>
      </c>
      <c r="E381" s="40"/>
      <c r="F381" s="30">
        <f t="shared" si="22"/>
        <v>14760.55</v>
      </c>
      <c r="H381" s="7">
        <v>61.05</v>
      </c>
      <c r="I381" s="7">
        <v>57.4</v>
      </c>
      <c r="J381" s="7"/>
      <c r="K381" s="7"/>
      <c r="L381" s="7">
        <v>51.05</v>
      </c>
      <c r="M381" s="7">
        <v>42.85</v>
      </c>
      <c r="Q381" s="30">
        <v>113.2</v>
      </c>
      <c r="R381" s="73">
        <v>150</v>
      </c>
      <c r="S381" s="30">
        <f>R381*Q381</f>
        <v>16980</v>
      </c>
      <c r="W381" s="63">
        <v>0.41597222222222219</v>
      </c>
      <c r="X381" s="30">
        <v>87.45</v>
      </c>
      <c r="Y381" s="30">
        <v>109.7</v>
      </c>
    </row>
    <row r="382" spans="2:25" x14ac:dyDescent="0.3">
      <c r="E382" s="40">
        <f>F382-(G382-F382)</f>
        <v>87.574999999999989</v>
      </c>
      <c r="F382" s="40">
        <f>AVERAGE(C379,C389)</f>
        <v>109.85</v>
      </c>
      <c r="G382" s="40">
        <f>AVERAGE(C378,C388)</f>
        <v>132.125</v>
      </c>
      <c r="H382" s="17"/>
      <c r="I382" s="17"/>
      <c r="J382" s="17"/>
      <c r="K382" s="76"/>
      <c r="L382" s="17"/>
      <c r="M382" s="17"/>
      <c r="Q382" s="30">
        <v>107.3</v>
      </c>
      <c r="R382" s="73">
        <v>150</v>
      </c>
      <c r="S382" s="30">
        <f>R382*Q382</f>
        <v>16095</v>
      </c>
      <c r="W382" s="63">
        <v>0.4368055555555555</v>
      </c>
      <c r="X382" s="30">
        <v>85.3</v>
      </c>
      <c r="Y382" s="30">
        <v>110.55</v>
      </c>
    </row>
    <row r="383" spans="2:25" x14ac:dyDescent="0.3">
      <c r="C383" s="64">
        <v>43851</v>
      </c>
      <c r="E383" s="40"/>
      <c r="F383" s="40">
        <f>AVERAGE(E384,F384)</f>
        <v>107.33750000000001</v>
      </c>
      <c r="G383" s="40"/>
      <c r="H383" s="66">
        <v>0.44305555555555554</v>
      </c>
      <c r="I383" s="66">
        <v>0.46458333333333335</v>
      </c>
      <c r="J383" s="66"/>
      <c r="K383" s="66"/>
      <c r="L383" s="67">
        <v>8.3333333333333329E-2</v>
      </c>
      <c r="M383" s="67">
        <v>0.13541666666666666</v>
      </c>
      <c r="Q383" s="30"/>
      <c r="R383" s="73"/>
      <c r="S383" s="30">
        <f>R383*Q383</f>
        <v>0</v>
      </c>
      <c r="W383" s="63">
        <v>0.45763888888888887</v>
      </c>
      <c r="X383" s="30">
        <v>79.45</v>
      </c>
      <c r="Y383" s="30">
        <v>123.65</v>
      </c>
    </row>
    <row r="384" spans="2:25" x14ac:dyDescent="0.3">
      <c r="B384" s="34" t="s">
        <v>68</v>
      </c>
      <c r="C384" s="63">
        <v>0.41666666666666669</v>
      </c>
      <c r="D384" s="63">
        <v>0.38680555555555557</v>
      </c>
      <c r="E384" s="40">
        <f>F384-(G384-F384)</f>
        <v>95.474999999999994</v>
      </c>
      <c r="F384" s="40">
        <f>AVERAGE(C388,C379)</f>
        <v>119.2</v>
      </c>
      <c r="G384" s="40">
        <f>AVERAGE(C387,C378)</f>
        <v>142.92500000000001</v>
      </c>
      <c r="H384" s="23">
        <v>119.2</v>
      </c>
      <c r="I384" s="23">
        <v>142.9</v>
      </c>
      <c r="J384" s="7"/>
      <c r="K384" s="7"/>
      <c r="L384" s="7"/>
      <c r="M384" s="7"/>
      <c r="Q384" s="30">
        <f>S384/R384</f>
        <v>110.25</v>
      </c>
      <c r="R384" s="73">
        <f>SUM(R381:R383)</f>
        <v>300</v>
      </c>
      <c r="S384" s="30">
        <f>SUM(S381:S383)</f>
        <v>33075</v>
      </c>
      <c r="V384" s="40"/>
      <c r="W384" s="63">
        <v>0.47847222222222219</v>
      </c>
      <c r="X384" s="30">
        <v>74.25</v>
      </c>
      <c r="Y384" s="30">
        <v>155.35</v>
      </c>
    </row>
    <row r="385" spans="2:25" x14ac:dyDescent="0.3">
      <c r="B385" s="26">
        <f>B386+50</f>
        <v>14650</v>
      </c>
      <c r="C385" s="30">
        <v>202.6</v>
      </c>
      <c r="D385" s="30">
        <v>155.15</v>
      </c>
      <c r="E385" s="40"/>
      <c r="F385" s="30">
        <f t="shared" ref="F385:F390" si="23">B385-D385</f>
        <v>14494.85</v>
      </c>
      <c r="H385" s="7">
        <v>216.6</v>
      </c>
      <c r="I385" s="7">
        <v>245.5</v>
      </c>
      <c r="J385" s="7"/>
      <c r="K385" s="7"/>
      <c r="L385" s="7">
        <v>254.8</v>
      </c>
      <c r="M385" s="7">
        <v>255.7</v>
      </c>
      <c r="P385" s="50">
        <f>S390</f>
        <v>7522.5</v>
      </c>
      <c r="Q385" s="57" t="s">
        <v>72</v>
      </c>
      <c r="S385" s="57" t="s">
        <v>73</v>
      </c>
      <c r="T385" s="23">
        <f>((X381+Y381)-(X390+Y390))</f>
        <v>3.7999999999999829</v>
      </c>
      <c r="U385" s="23"/>
      <c r="V385" s="50">
        <f>T385*225</f>
        <v>854.99999999999613</v>
      </c>
      <c r="W385" s="63">
        <v>0.4993055555555555</v>
      </c>
      <c r="X385" s="30">
        <v>81.3</v>
      </c>
      <c r="Y385" s="30">
        <v>122</v>
      </c>
    </row>
    <row r="386" spans="2:25" x14ac:dyDescent="0.3">
      <c r="B386" s="26">
        <f>B387+50</f>
        <v>14600</v>
      </c>
      <c r="C386" s="30">
        <v>175.25</v>
      </c>
      <c r="D386" s="30">
        <v>131.55000000000001</v>
      </c>
      <c r="E386" s="40"/>
      <c r="F386" s="30">
        <f t="shared" si="23"/>
        <v>14468.45</v>
      </c>
      <c r="H386" s="7">
        <v>189.05</v>
      </c>
      <c r="I386" s="7">
        <v>215.15</v>
      </c>
      <c r="J386" s="7"/>
      <c r="K386" s="7"/>
      <c r="L386" s="7">
        <v>220.6</v>
      </c>
      <c r="M386" s="7">
        <v>221.2</v>
      </c>
      <c r="Q386" s="30">
        <v>142.9</v>
      </c>
      <c r="R386" s="73">
        <v>150</v>
      </c>
      <c r="S386" s="30">
        <f>R386*Q386</f>
        <v>21435</v>
      </c>
      <c r="W386" s="63">
        <v>0.52013888888888882</v>
      </c>
      <c r="X386" s="30">
        <v>83.35</v>
      </c>
      <c r="Y386" s="30">
        <v>110.45</v>
      </c>
    </row>
    <row r="387" spans="2:25" x14ac:dyDescent="0.3">
      <c r="B387" s="26">
        <v>14550</v>
      </c>
      <c r="C387" s="30">
        <v>150</v>
      </c>
      <c r="D387" s="30">
        <v>110.75</v>
      </c>
      <c r="E387" s="40"/>
      <c r="F387" s="30">
        <f t="shared" si="23"/>
        <v>14439.25</v>
      </c>
      <c r="H387" s="7">
        <v>162.5</v>
      </c>
      <c r="I387" s="7">
        <v>186.4</v>
      </c>
      <c r="J387" s="7"/>
      <c r="K387" s="7"/>
      <c r="L387" s="7">
        <v>191</v>
      </c>
      <c r="M387" s="7">
        <v>191.55</v>
      </c>
      <c r="Q387" s="30">
        <v>127.75</v>
      </c>
      <c r="R387" s="73">
        <v>150</v>
      </c>
      <c r="S387" s="30">
        <f>R387*Q387</f>
        <v>19162.5</v>
      </c>
      <c r="T387" s="40"/>
      <c r="U387" s="40"/>
      <c r="V387" s="40"/>
      <c r="W387" s="63">
        <v>0.54097222222222219</v>
      </c>
      <c r="X387" s="30">
        <v>83</v>
      </c>
      <c r="Y387" s="30">
        <v>103.4</v>
      </c>
    </row>
    <row r="388" spans="2:25" x14ac:dyDescent="0.3">
      <c r="B388" s="26">
        <f>B387-50</f>
        <v>14500</v>
      </c>
      <c r="C388" s="30">
        <v>128.4</v>
      </c>
      <c r="D388" s="23">
        <v>93.55</v>
      </c>
      <c r="E388" s="40"/>
      <c r="F388" s="50">
        <f t="shared" si="23"/>
        <v>14406.45</v>
      </c>
      <c r="H388" s="7">
        <v>138.19999999999999</v>
      </c>
      <c r="I388" s="7">
        <v>162.6</v>
      </c>
      <c r="J388" s="7"/>
      <c r="K388" s="7"/>
      <c r="L388" s="7">
        <v>164.5</v>
      </c>
      <c r="M388" s="7">
        <v>164.55</v>
      </c>
      <c r="Q388" s="30"/>
      <c r="R388" s="73"/>
      <c r="S388" s="30">
        <f>R388*Q388</f>
        <v>0</v>
      </c>
      <c r="T388" s="40"/>
      <c r="U388" s="40"/>
      <c r="V388" s="40"/>
      <c r="W388" s="63">
        <v>6.1805555555555558E-2</v>
      </c>
      <c r="X388" s="30">
        <v>79.3</v>
      </c>
      <c r="Y388" s="30">
        <v>108.9</v>
      </c>
    </row>
    <row r="389" spans="2:25" x14ac:dyDescent="0.3">
      <c r="B389" s="72">
        <f>B388-50</f>
        <v>14450</v>
      </c>
      <c r="C389" s="61">
        <v>109.7</v>
      </c>
      <c r="D389" s="7">
        <v>78.25</v>
      </c>
      <c r="E389" s="40"/>
      <c r="F389" s="30">
        <f t="shared" si="23"/>
        <v>14371.75</v>
      </c>
      <c r="H389" s="7">
        <v>117.95</v>
      </c>
      <c r="I389" s="7">
        <v>139.69999999999999</v>
      </c>
      <c r="J389" s="7"/>
      <c r="K389" s="7"/>
      <c r="L389" s="7">
        <v>141</v>
      </c>
      <c r="M389" s="7">
        <v>141.65</v>
      </c>
      <c r="Q389" s="30">
        <f>S389/R389</f>
        <v>135.32499999999999</v>
      </c>
      <c r="R389" s="73">
        <f>SUM(R386:R388)</f>
        <v>300</v>
      </c>
      <c r="S389" s="30">
        <f>SUM(S386:S388)</f>
        <v>40597.5</v>
      </c>
      <c r="W389" s="63">
        <v>8.2638888888888887E-2</v>
      </c>
      <c r="X389" s="30">
        <v>66.400000000000006</v>
      </c>
      <c r="Y389" s="30">
        <v>141</v>
      </c>
    </row>
    <row r="390" spans="2:25" x14ac:dyDescent="0.3">
      <c r="B390" s="26">
        <f>B389-50</f>
        <v>14400</v>
      </c>
      <c r="C390" s="30">
        <v>93.35</v>
      </c>
      <c r="D390" s="7">
        <v>65.75</v>
      </c>
      <c r="E390" s="40"/>
      <c r="F390" s="30">
        <f t="shared" si="23"/>
        <v>14334.25</v>
      </c>
      <c r="H390" s="7">
        <v>100.35</v>
      </c>
      <c r="I390" s="7">
        <v>120.4</v>
      </c>
      <c r="J390" s="7"/>
      <c r="K390" s="7"/>
      <c r="L390" s="7">
        <v>121.15</v>
      </c>
      <c r="M390" s="7">
        <v>119.95</v>
      </c>
      <c r="Q390" s="136" t="e">
        <f>S390/(R384-R389)</f>
        <v>#DIV/0!</v>
      </c>
      <c r="R390" s="137"/>
      <c r="S390" s="30">
        <f>S389-S384</f>
        <v>7522.5</v>
      </c>
      <c r="W390" s="63">
        <v>0.13541666666666666</v>
      </c>
      <c r="X390" s="30">
        <v>74.150000000000006</v>
      </c>
      <c r="Y390" s="23">
        <v>119.2</v>
      </c>
    </row>
    <row r="402" spans="2:25" x14ac:dyDescent="0.3">
      <c r="B402" s="40"/>
      <c r="C402" s="50">
        <f>B403+E403</f>
        <v>14383.45</v>
      </c>
      <c r="D402" s="51">
        <f>C402+E403</f>
        <v>14433.45</v>
      </c>
      <c r="E402" s="21"/>
      <c r="F402" s="21"/>
      <c r="H402" s="52" t="str">
        <f>IF((C411-D411)&gt;(C420-D420),"LONG",IF(C420&gt;D418,"LONG","SHORT"))</f>
        <v>LONG</v>
      </c>
      <c r="I402" s="138"/>
      <c r="J402" s="139"/>
      <c r="K402" s="140"/>
      <c r="L402" s="53">
        <f>AVERAGE(L403:L404)</f>
        <v>182.67500000000001</v>
      </c>
      <c r="Q402" s="54">
        <v>0.39166666666666666</v>
      </c>
      <c r="R402" s="54">
        <v>0.39861111111111108</v>
      </c>
      <c r="S402" s="54">
        <v>0.4055555555555555</v>
      </c>
      <c r="T402" s="54">
        <v>0.41250000000000003</v>
      </c>
      <c r="U402" s="55"/>
      <c r="W402" s="34" t="s">
        <v>68</v>
      </c>
      <c r="X402" s="56" t="s">
        <v>69</v>
      </c>
      <c r="Y402" s="57" t="s">
        <v>70</v>
      </c>
    </row>
    <row r="403" spans="2:25" x14ac:dyDescent="0.3">
      <c r="B403" s="50">
        <v>14333.45</v>
      </c>
      <c r="C403" s="40"/>
      <c r="D403" s="58"/>
      <c r="E403" s="59">
        <f>ROUND((((B403*F403%)/4)/10),0)*10</f>
        <v>50</v>
      </c>
      <c r="F403" s="51">
        <v>1.29</v>
      </c>
      <c r="H403" s="60" t="s">
        <v>69</v>
      </c>
      <c r="I403" s="61">
        <f>AVERAGE(C420,C409)</f>
        <v>158.47499999999999</v>
      </c>
      <c r="J403" s="61">
        <f>AVERAGE(C420,C410)</f>
        <v>143.97499999999999</v>
      </c>
      <c r="K403" s="61">
        <f>AVERAGE(C420,C411)</f>
        <v>130.55000000000001</v>
      </c>
      <c r="L403" s="61">
        <f>C409</f>
        <v>187.1</v>
      </c>
      <c r="Q403" s="51"/>
      <c r="R403" s="51"/>
      <c r="S403" s="51"/>
      <c r="T403" s="51"/>
      <c r="U403" s="62"/>
      <c r="W403" s="63">
        <v>0.41597222222222219</v>
      </c>
      <c r="X403" s="30">
        <v>131.25</v>
      </c>
      <c r="Y403" s="30">
        <v>129.85</v>
      </c>
    </row>
    <row r="404" spans="2:25" x14ac:dyDescent="0.3">
      <c r="B404" s="40"/>
      <c r="C404" s="50">
        <f>B403-E403</f>
        <v>14283.45</v>
      </c>
      <c r="D404" s="51">
        <f>C404-E403</f>
        <v>14233.45</v>
      </c>
      <c r="E404" s="21"/>
      <c r="F404" s="21"/>
      <c r="H404" s="60" t="s">
        <v>70</v>
      </c>
      <c r="I404" s="61">
        <f>AVERAGE(C411,C418)</f>
        <v>154.75</v>
      </c>
      <c r="J404" s="61">
        <f>AVERAGE(C411,C419)</f>
        <v>141.72499999999999</v>
      </c>
      <c r="K404" s="61">
        <f>AVERAGE(C411,C420)</f>
        <v>130.55000000000001</v>
      </c>
      <c r="L404" s="61">
        <f>C418</f>
        <v>178.25</v>
      </c>
      <c r="W404" s="63">
        <v>0.4368055555555555</v>
      </c>
      <c r="X404" s="30">
        <v>123.7</v>
      </c>
      <c r="Y404" s="30">
        <v>140.55000000000001</v>
      </c>
    </row>
    <row r="405" spans="2:25" x14ac:dyDescent="0.3">
      <c r="F405" s="40"/>
      <c r="G405" s="40"/>
      <c r="K405" s="40"/>
      <c r="W405" s="63">
        <v>0.45763888888888887</v>
      </c>
      <c r="X405" s="30">
        <v>117.1</v>
      </c>
      <c r="Y405" s="30">
        <v>143.05000000000001</v>
      </c>
    </row>
    <row r="406" spans="2:25" x14ac:dyDescent="0.3">
      <c r="B406" s="40"/>
      <c r="W406" s="63">
        <v>0.47847222222222219</v>
      </c>
      <c r="X406" s="30">
        <v>118.55</v>
      </c>
      <c r="Y406" s="30">
        <v>132.6</v>
      </c>
    </row>
    <row r="407" spans="2:25" x14ac:dyDescent="0.3">
      <c r="C407" s="64">
        <v>44214</v>
      </c>
      <c r="F407" s="30">
        <f>AVERAGE(F409,F418)</f>
        <v>14356.5</v>
      </c>
      <c r="G407" s="65"/>
      <c r="H407" s="66">
        <v>0.44166666666666665</v>
      </c>
      <c r="I407" s="66">
        <v>0.44444444444444442</v>
      </c>
      <c r="J407" s="66">
        <v>0.46249999999999997</v>
      </c>
      <c r="K407" s="66"/>
      <c r="L407" s="67">
        <v>8.3333333333333329E-2</v>
      </c>
      <c r="M407" s="67">
        <v>0.13541666666666666</v>
      </c>
      <c r="Q407" s="132" t="s">
        <v>71</v>
      </c>
      <c r="R407" s="132"/>
      <c r="S407" s="132" t="s">
        <v>37</v>
      </c>
      <c r="T407" s="132"/>
      <c r="U407" s="69"/>
      <c r="W407" s="63">
        <v>0.4993055555555555</v>
      </c>
      <c r="X407" s="30">
        <v>107.95</v>
      </c>
      <c r="Y407" s="30">
        <v>146.05000000000001</v>
      </c>
    </row>
    <row r="408" spans="2:25" x14ac:dyDescent="0.3">
      <c r="B408" s="34" t="s">
        <v>68</v>
      </c>
      <c r="C408" s="63">
        <v>0.41666666666666669</v>
      </c>
      <c r="D408" s="63">
        <v>0.41319444444444442</v>
      </c>
      <c r="H408" s="7">
        <v>14284.05</v>
      </c>
      <c r="I408" s="7">
        <v>14314.2</v>
      </c>
      <c r="J408" s="7"/>
      <c r="K408" s="7"/>
      <c r="L408" s="7"/>
      <c r="M408" s="7"/>
      <c r="Q408" s="61">
        <f>R408-(S408-R408)</f>
        <v>14286.55</v>
      </c>
      <c r="R408" s="61">
        <v>14467.25</v>
      </c>
      <c r="S408" s="61">
        <v>14647.95</v>
      </c>
      <c r="T408" s="61">
        <f>S408+(S408-R408)</f>
        <v>14828.650000000001</v>
      </c>
      <c r="U408" s="71"/>
      <c r="W408" s="63">
        <v>0.52013888888888882</v>
      </c>
      <c r="X408" s="30">
        <v>116.6</v>
      </c>
      <c r="Y408" s="30">
        <v>129.05000000000001</v>
      </c>
    </row>
    <row r="409" spans="2:25" x14ac:dyDescent="0.3">
      <c r="B409" s="26">
        <f>B410-50</f>
        <v>14250</v>
      </c>
      <c r="C409" s="30">
        <v>187.1</v>
      </c>
      <c r="D409" s="30">
        <v>187.1</v>
      </c>
      <c r="E409" s="40"/>
      <c r="F409" s="30">
        <f t="shared" ref="F409:F414" si="24">B409+D409</f>
        <v>14437.1</v>
      </c>
      <c r="H409" s="7">
        <v>161.80000000000001</v>
      </c>
      <c r="I409" s="7">
        <v>173.75</v>
      </c>
      <c r="J409" s="7">
        <v>186</v>
      </c>
      <c r="K409" s="7"/>
      <c r="L409" s="7">
        <v>195.05</v>
      </c>
      <c r="M409" s="7">
        <v>144.5</v>
      </c>
      <c r="S409" s="40"/>
      <c r="W409" s="63">
        <v>0.54097222222222219</v>
      </c>
      <c r="X409" s="30">
        <v>118.35</v>
      </c>
      <c r="Y409" s="30">
        <v>125</v>
      </c>
    </row>
    <row r="410" spans="2:25" x14ac:dyDescent="0.3">
      <c r="B410" s="26">
        <f>B411-50</f>
        <v>14300</v>
      </c>
      <c r="C410" s="30">
        <v>158.1</v>
      </c>
      <c r="D410" s="30">
        <v>158.1</v>
      </c>
      <c r="E410" s="40"/>
      <c r="F410" s="30">
        <f t="shared" si="24"/>
        <v>14458.1</v>
      </c>
      <c r="H410" s="7">
        <v>135.75</v>
      </c>
      <c r="I410" s="7">
        <v>146.25</v>
      </c>
      <c r="J410" s="7">
        <v>156.44999999999999</v>
      </c>
      <c r="K410" s="7"/>
      <c r="L410" s="7">
        <v>163.19999999999999</v>
      </c>
      <c r="M410" s="7">
        <v>116.1</v>
      </c>
      <c r="W410" s="63">
        <v>6.1805555555555558E-2</v>
      </c>
      <c r="X410" s="30">
        <v>110.65</v>
      </c>
      <c r="Y410" s="30">
        <v>131.69999999999999</v>
      </c>
    </row>
    <row r="411" spans="2:25" x14ac:dyDescent="0.3">
      <c r="B411" s="26">
        <v>14350</v>
      </c>
      <c r="C411" s="30">
        <v>131.25</v>
      </c>
      <c r="D411" s="30">
        <v>131.25</v>
      </c>
      <c r="E411" s="40"/>
      <c r="F411" s="30">
        <f t="shared" si="24"/>
        <v>14481.25</v>
      </c>
      <c r="H411" s="7">
        <v>112.05</v>
      </c>
      <c r="I411" s="7">
        <v>121.65</v>
      </c>
      <c r="J411" s="7">
        <v>129.25</v>
      </c>
      <c r="K411" s="7"/>
      <c r="L411" s="7">
        <v>134</v>
      </c>
      <c r="M411" s="7">
        <v>92.95</v>
      </c>
      <c r="P411" s="40"/>
      <c r="W411" s="63">
        <v>8.2638888888888887E-2</v>
      </c>
      <c r="X411" s="30">
        <v>134</v>
      </c>
      <c r="Y411" s="30">
        <v>93</v>
      </c>
    </row>
    <row r="412" spans="2:25" x14ac:dyDescent="0.3">
      <c r="B412" s="26">
        <f>B411+50</f>
        <v>14400</v>
      </c>
      <c r="C412" s="7">
        <v>106.7</v>
      </c>
      <c r="D412" s="23">
        <v>106.7</v>
      </c>
      <c r="E412" s="40"/>
      <c r="F412" s="50">
        <f t="shared" si="24"/>
        <v>14506.7</v>
      </c>
      <c r="H412" s="7">
        <v>91.5</v>
      </c>
      <c r="I412" s="7">
        <v>99.45</v>
      </c>
      <c r="J412" s="7">
        <v>105.35</v>
      </c>
      <c r="K412" s="7"/>
      <c r="L412" s="7">
        <v>108.2</v>
      </c>
      <c r="M412" s="7">
        <v>71.900000000000006</v>
      </c>
    </row>
    <row r="413" spans="2:25" x14ac:dyDescent="0.3">
      <c r="B413" s="72">
        <f>B412+50</f>
        <v>14450</v>
      </c>
      <c r="C413" s="30">
        <v>85.6</v>
      </c>
      <c r="D413" s="30">
        <v>85.6</v>
      </c>
      <c r="E413" s="40"/>
      <c r="F413" s="30">
        <f t="shared" si="24"/>
        <v>14535.6</v>
      </c>
      <c r="H413" s="7">
        <v>73.95</v>
      </c>
      <c r="I413" s="7">
        <v>79.75</v>
      </c>
      <c r="J413" s="7">
        <v>84.2</v>
      </c>
      <c r="K413" s="7"/>
      <c r="L413" s="7">
        <v>85.8</v>
      </c>
      <c r="M413" s="7">
        <v>55.3</v>
      </c>
      <c r="Q413" s="133" t="s">
        <v>72</v>
      </c>
      <c r="R413" s="134"/>
      <c r="S413" s="135"/>
      <c r="W413" s="34" t="s">
        <v>68</v>
      </c>
      <c r="X413" s="56" t="s">
        <v>69</v>
      </c>
      <c r="Y413" s="57" t="s">
        <v>70</v>
      </c>
    </row>
    <row r="414" spans="2:25" x14ac:dyDescent="0.3">
      <c r="B414" s="26">
        <f>B413+50</f>
        <v>14500</v>
      </c>
      <c r="C414" s="61">
        <v>67.349999999999994</v>
      </c>
      <c r="D414" s="30">
        <v>67.349999999999994</v>
      </c>
      <c r="E414" s="40"/>
      <c r="F414" s="30">
        <f t="shared" si="24"/>
        <v>14567.35</v>
      </c>
      <c r="H414" s="7">
        <v>58.65</v>
      </c>
      <c r="I414" s="7">
        <v>63.25</v>
      </c>
      <c r="J414" s="7">
        <v>66.3</v>
      </c>
      <c r="K414" s="7"/>
      <c r="L414" s="7">
        <v>66.599999999999994</v>
      </c>
      <c r="M414" s="7">
        <v>41.15</v>
      </c>
      <c r="Q414" s="30">
        <v>102.8</v>
      </c>
      <c r="R414" s="73">
        <v>150</v>
      </c>
      <c r="S414" s="30">
        <f>R414*Q414</f>
        <v>15420</v>
      </c>
      <c r="W414" s="63">
        <v>0.41597222222222219</v>
      </c>
      <c r="X414" s="30">
        <v>67.349999999999994</v>
      </c>
      <c r="Y414" s="30">
        <v>93</v>
      </c>
    </row>
    <row r="415" spans="2:25" x14ac:dyDescent="0.3">
      <c r="E415" s="40">
        <f>F415-(G415-F415)</f>
        <v>70.199999999999989</v>
      </c>
      <c r="F415" s="40">
        <f>AVERAGE(C413,C422)</f>
        <v>89.3</v>
      </c>
      <c r="G415" s="40">
        <f>AVERAGE(C412,C421)</f>
        <v>108.4</v>
      </c>
      <c r="H415" s="17"/>
      <c r="I415" s="17"/>
      <c r="J415" s="17"/>
      <c r="K415" s="76"/>
      <c r="L415" s="17"/>
      <c r="M415" s="17"/>
      <c r="Q415" s="30">
        <v>97.3</v>
      </c>
      <c r="R415" s="73">
        <v>150</v>
      </c>
      <c r="S415" s="30">
        <f>R415*Q415</f>
        <v>14595</v>
      </c>
      <c r="W415" s="63">
        <v>0.4368055555555555</v>
      </c>
      <c r="X415" s="30">
        <v>64.849999999999994</v>
      </c>
      <c r="Y415" s="30">
        <v>100.2</v>
      </c>
    </row>
    <row r="416" spans="2:25" x14ac:dyDescent="0.3">
      <c r="C416" s="64">
        <v>43851</v>
      </c>
      <c r="E416" s="40"/>
      <c r="F416" s="40">
        <f>AVERAGE(E417,F417)</f>
        <v>97.325000000000003</v>
      </c>
      <c r="G416" s="40"/>
      <c r="H416" s="66">
        <v>0.44166666666666665</v>
      </c>
      <c r="I416" s="66">
        <v>0.44444444444444442</v>
      </c>
      <c r="J416" s="66">
        <v>0.46249999999999997</v>
      </c>
      <c r="K416" s="66"/>
      <c r="L416" s="67">
        <v>8.3333333333333329E-2</v>
      </c>
      <c r="M416" s="67">
        <v>0.13541666666666666</v>
      </c>
      <c r="Q416" s="30"/>
      <c r="R416" s="73"/>
      <c r="S416" s="30">
        <f>R416*Q416</f>
        <v>0</v>
      </c>
      <c r="W416" s="63">
        <v>0.45763888888888887</v>
      </c>
      <c r="X416" s="30">
        <v>60.3</v>
      </c>
      <c r="Y416" s="30">
        <v>101.55</v>
      </c>
    </row>
    <row r="417" spans="2:25" x14ac:dyDescent="0.3">
      <c r="B417" s="34" t="s">
        <v>68</v>
      </c>
      <c r="C417" s="63">
        <v>0.41666666666666669</v>
      </c>
      <c r="D417" s="63">
        <v>0.38958333333333334</v>
      </c>
      <c r="E417" s="40">
        <f>F417-(G417-F417)</f>
        <v>86.25</v>
      </c>
      <c r="F417" s="40">
        <f>AVERAGE(C421,C412)</f>
        <v>108.4</v>
      </c>
      <c r="G417" s="40">
        <f>AVERAGE(C420,C411)</f>
        <v>130.55000000000001</v>
      </c>
      <c r="H417" s="23">
        <v>108.4</v>
      </c>
      <c r="I417" s="23">
        <v>102.8</v>
      </c>
      <c r="J417" s="23">
        <v>86.25</v>
      </c>
      <c r="K417" s="7"/>
      <c r="L417" s="7"/>
      <c r="M417" s="7"/>
      <c r="Q417" s="30">
        <f>S417/R417</f>
        <v>100.05</v>
      </c>
      <c r="R417" s="73">
        <f>SUM(R414:R416)</f>
        <v>300</v>
      </c>
      <c r="S417" s="30">
        <f>SUM(S414:S416)</f>
        <v>30015</v>
      </c>
      <c r="V417" s="40"/>
      <c r="W417" s="63">
        <v>0.47847222222222219</v>
      </c>
      <c r="X417" s="30">
        <v>60</v>
      </c>
      <c r="Y417" s="30">
        <v>92.5</v>
      </c>
    </row>
    <row r="418" spans="2:25" x14ac:dyDescent="0.3">
      <c r="B418" s="26">
        <f>B419+50</f>
        <v>14400</v>
      </c>
      <c r="C418" s="30">
        <v>178.25</v>
      </c>
      <c r="D418" s="30">
        <v>124.1</v>
      </c>
      <c r="E418" s="40"/>
      <c r="F418" s="30">
        <f t="shared" ref="F418:F423" si="25">B418-D418</f>
        <v>14275.9</v>
      </c>
      <c r="H418" s="7">
        <v>211.8</v>
      </c>
      <c r="I418" s="7">
        <v>194.5</v>
      </c>
      <c r="J418" s="7">
        <v>170.75</v>
      </c>
      <c r="K418" s="7"/>
      <c r="L418" s="7">
        <v>137.5</v>
      </c>
      <c r="M418" s="7">
        <v>178.15</v>
      </c>
      <c r="P418" s="50">
        <f>S423</f>
        <v>-4140</v>
      </c>
      <c r="Q418" s="57" t="s">
        <v>72</v>
      </c>
      <c r="S418" s="57" t="s">
        <v>73</v>
      </c>
      <c r="T418" s="23">
        <f>((X414+Y414)-(X423+Y423))</f>
        <v>-15.400000000000006</v>
      </c>
      <c r="U418" s="23"/>
      <c r="V418" s="50">
        <f>T418*225</f>
        <v>-3465.0000000000014</v>
      </c>
      <c r="W418" s="63">
        <v>0.4993055555555555</v>
      </c>
      <c r="X418" s="30">
        <v>54.05</v>
      </c>
      <c r="Y418" s="30">
        <v>102</v>
      </c>
    </row>
    <row r="419" spans="2:25" x14ac:dyDescent="0.3">
      <c r="B419" s="26">
        <f>B420+50</f>
        <v>14350</v>
      </c>
      <c r="C419" s="30">
        <v>152.19999999999999</v>
      </c>
      <c r="D419" s="7">
        <v>105.1</v>
      </c>
      <c r="E419" s="40"/>
      <c r="F419" s="30">
        <f t="shared" si="25"/>
        <v>14244.9</v>
      </c>
      <c r="H419" s="7">
        <v>181.95</v>
      </c>
      <c r="I419" s="7">
        <v>166.8</v>
      </c>
      <c r="J419" s="7">
        <v>144</v>
      </c>
      <c r="K419" s="7"/>
      <c r="L419" s="7">
        <v>113.9</v>
      </c>
      <c r="M419" s="7">
        <v>148.69999999999999</v>
      </c>
      <c r="Q419" s="30">
        <v>86.25</v>
      </c>
      <c r="R419" s="73">
        <v>150</v>
      </c>
      <c r="S419" s="30">
        <f>R419*Q419</f>
        <v>12937.5</v>
      </c>
      <c r="W419" s="63">
        <v>0.52013888888888882</v>
      </c>
      <c r="X419" s="30">
        <v>58.55</v>
      </c>
      <c r="Y419" s="30">
        <v>89.8</v>
      </c>
    </row>
    <row r="420" spans="2:25" x14ac:dyDescent="0.3">
      <c r="B420" s="26">
        <v>14300</v>
      </c>
      <c r="C420" s="30">
        <v>129.85</v>
      </c>
      <c r="D420" s="7">
        <v>88.7</v>
      </c>
      <c r="E420" s="40"/>
      <c r="F420" s="30">
        <f t="shared" si="25"/>
        <v>14211.3</v>
      </c>
      <c r="H420" s="7">
        <v>155.6</v>
      </c>
      <c r="I420" s="7">
        <v>141.35</v>
      </c>
      <c r="J420" s="7">
        <v>121.7</v>
      </c>
      <c r="K420" s="7"/>
      <c r="L420" s="7">
        <v>93</v>
      </c>
      <c r="M420" s="7">
        <v>122.1</v>
      </c>
      <c r="Q420" s="30">
        <v>86.25</v>
      </c>
      <c r="R420" s="73">
        <v>150</v>
      </c>
      <c r="S420" s="30">
        <f>R420*Q420</f>
        <v>12937.5</v>
      </c>
      <c r="T420" s="40"/>
      <c r="U420" s="40"/>
      <c r="V420" s="40"/>
      <c r="W420" s="63">
        <v>0.54097222222222219</v>
      </c>
      <c r="X420" s="30">
        <v>58.45</v>
      </c>
      <c r="Y420" s="30">
        <v>86.35</v>
      </c>
    </row>
    <row r="421" spans="2:25" x14ac:dyDescent="0.3">
      <c r="B421" s="26">
        <f>B420-50</f>
        <v>14250</v>
      </c>
      <c r="C421" s="30">
        <v>110.1</v>
      </c>
      <c r="D421" s="7">
        <v>74.8</v>
      </c>
      <c r="E421" s="40"/>
      <c r="F421" s="50">
        <f t="shared" si="25"/>
        <v>14175.2</v>
      </c>
      <c r="H421" s="7">
        <v>132.5</v>
      </c>
      <c r="I421" s="7">
        <v>119.9</v>
      </c>
      <c r="J421" s="7">
        <v>102.6</v>
      </c>
      <c r="K421" s="7"/>
      <c r="L421" s="7">
        <v>75.2</v>
      </c>
      <c r="M421" s="7">
        <v>99.2</v>
      </c>
      <c r="Q421" s="30"/>
      <c r="R421" s="73"/>
      <c r="S421" s="30">
        <f>R421*Q421</f>
        <v>0</v>
      </c>
      <c r="T421" s="40"/>
      <c r="U421" s="40"/>
      <c r="V421" s="40"/>
      <c r="W421" s="63">
        <v>6.1805555555555558E-2</v>
      </c>
      <c r="X421" s="30">
        <v>53.5</v>
      </c>
      <c r="Y421" s="30">
        <v>91.9</v>
      </c>
    </row>
    <row r="422" spans="2:25" x14ac:dyDescent="0.3">
      <c r="B422" s="72">
        <f>B421-50</f>
        <v>14200</v>
      </c>
      <c r="C422" s="61">
        <v>93</v>
      </c>
      <c r="D422" s="30">
        <v>63.05</v>
      </c>
      <c r="E422" s="40"/>
      <c r="F422" s="30">
        <f t="shared" si="25"/>
        <v>14136.95</v>
      </c>
      <c r="H422" s="7">
        <v>111.05</v>
      </c>
      <c r="I422" s="7">
        <v>100.35</v>
      </c>
      <c r="J422" s="7">
        <v>85.1</v>
      </c>
      <c r="K422" s="7"/>
      <c r="L422" s="7">
        <v>60.45</v>
      </c>
      <c r="M422" s="7">
        <v>80.2</v>
      </c>
      <c r="Q422" s="30">
        <f>S422/R422</f>
        <v>86.25</v>
      </c>
      <c r="R422" s="73">
        <f>SUM(R419:R421)</f>
        <v>300</v>
      </c>
      <c r="S422" s="30">
        <f>SUM(S419:S421)</f>
        <v>25875</v>
      </c>
      <c r="W422" s="63">
        <v>8.2638888888888887E-2</v>
      </c>
      <c r="X422" s="30">
        <v>66.599999999999994</v>
      </c>
      <c r="Y422" s="30">
        <v>60.45</v>
      </c>
    </row>
    <row r="423" spans="2:25" x14ac:dyDescent="0.3">
      <c r="B423" s="26">
        <f>B422-50</f>
        <v>14150</v>
      </c>
      <c r="C423" s="30">
        <v>78.8</v>
      </c>
      <c r="D423" s="30">
        <v>53.6</v>
      </c>
      <c r="E423" s="40"/>
      <c r="F423" s="30">
        <f t="shared" si="25"/>
        <v>14096.4</v>
      </c>
      <c r="H423" s="7">
        <v>93.85</v>
      </c>
      <c r="I423" s="7">
        <v>83.75</v>
      </c>
      <c r="J423" s="7">
        <v>70.7</v>
      </c>
      <c r="K423" s="7"/>
      <c r="L423" s="7">
        <v>48.8</v>
      </c>
      <c r="M423" s="7">
        <v>63.9</v>
      </c>
      <c r="Q423" s="136" t="e">
        <f>S423/(R417-R422)</f>
        <v>#DIV/0!</v>
      </c>
      <c r="R423" s="137"/>
      <c r="S423" s="30">
        <f>S422-S417</f>
        <v>-4140</v>
      </c>
      <c r="W423" s="63">
        <v>0.46249999999999997</v>
      </c>
      <c r="X423" s="30">
        <v>67.349999999999994</v>
      </c>
      <c r="Y423" s="23">
        <v>108.4</v>
      </c>
    </row>
    <row r="430" spans="2:25" x14ac:dyDescent="0.3">
      <c r="F430" s="74"/>
    </row>
    <row r="435" spans="2:25" x14ac:dyDescent="0.3">
      <c r="B435" s="40"/>
      <c r="C435" s="50">
        <f>B436+E436</f>
        <v>14451.95</v>
      </c>
      <c r="D435" s="51">
        <f>C435+E436</f>
        <v>14501.95</v>
      </c>
      <c r="E435" s="21"/>
      <c r="F435" s="21"/>
      <c r="H435" s="52" t="str">
        <f>IF((C444-D444)&gt;(C453-D453),"LONG",IF(C453&gt;D451,"LONG","SHORT"))</f>
        <v>SHORT</v>
      </c>
      <c r="I435" s="138" t="s">
        <v>84</v>
      </c>
      <c r="J435" s="139"/>
      <c r="K435" s="140"/>
      <c r="L435" s="53">
        <f>AVERAGE(L436:L437)</f>
        <v>143.875</v>
      </c>
      <c r="Q435" s="54">
        <v>0.39166666666666666</v>
      </c>
      <c r="R435" s="54">
        <v>0.39861111111111108</v>
      </c>
      <c r="S435" s="54">
        <v>0.4055555555555555</v>
      </c>
      <c r="T435" s="54">
        <v>0.41250000000000003</v>
      </c>
      <c r="U435" s="55"/>
      <c r="W435" s="34" t="s">
        <v>68</v>
      </c>
      <c r="X435" s="56" t="s">
        <v>69</v>
      </c>
      <c r="Y435" s="57" t="s">
        <v>70</v>
      </c>
    </row>
    <row r="436" spans="2:25" x14ac:dyDescent="0.3">
      <c r="B436" s="50">
        <v>14401.95</v>
      </c>
      <c r="C436" s="40"/>
      <c r="D436" s="58"/>
      <c r="E436" s="59">
        <f>ROUND((((B436*F436%)/4)/10),0)*10</f>
        <v>50</v>
      </c>
      <c r="F436" s="51">
        <v>1.33</v>
      </c>
      <c r="H436" s="60" t="s">
        <v>69</v>
      </c>
      <c r="I436" s="61">
        <f>AVERAGE(C453,C442)</f>
        <v>115.375</v>
      </c>
      <c r="J436" s="61">
        <f>AVERAGE(C453,C443)</f>
        <v>101.35</v>
      </c>
      <c r="K436" s="61">
        <f>AVERAGE(C453,C444)</f>
        <v>89.474999999999994</v>
      </c>
      <c r="L436" s="61">
        <f>C442</f>
        <v>124.55</v>
      </c>
      <c r="Q436" s="51">
        <v>14413</v>
      </c>
      <c r="R436" s="51">
        <v>14397.8</v>
      </c>
      <c r="S436" s="51">
        <v>14389.5</v>
      </c>
      <c r="T436" s="51">
        <v>14402</v>
      </c>
      <c r="U436" s="62"/>
      <c r="W436" s="63">
        <v>0.41597222222222219</v>
      </c>
      <c r="X436" s="30">
        <v>72.75</v>
      </c>
      <c r="Y436" s="30">
        <v>106.2</v>
      </c>
    </row>
    <row r="437" spans="2:25" x14ac:dyDescent="0.3">
      <c r="B437" s="40"/>
      <c r="C437" s="50">
        <f>B436-E436</f>
        <v>14351.95</v>
      </c>
      <c r="D437" s="51">
        <f>C437-E436</f>
        <v>14301.95</v>
      </c>
      <c r="E437" s="21"/>
      <c r="F437" s="21"/>
      <c r="H437" s="60" t="s">
        <v>70</v>
      </c>
      <c r="I437" s="61">
        <f>AVERAGE(C444,C451)</f>
        <v>117.97499999999999</v>
      </c>
      <c r="J437" s="61">
        <f>AVERAGE(C444,C452)</f>
        <v>102.95</v>
      </c>
      <c r="K437" s="61">
        <f>AVERAGE(C444,C453)</f>
        <v>89.474999999999994</v>
      </c>
      <c r="L437" s="61">
        <f>C451</f>
        <v>163.19999999999999</v>
      </c>
      <c r="W437" s="63">
        <v>0.4368055555555555</v>
      </c>
      <c r="X437" s="30">
        <v>92.5</v>
      </c>
      <c r="Y437" s="30">
        <v>77</v>
      </c>
    </row>
    <row r="438" spans="2:25" x14ac:dyDescent="0.3">
      <c r="F438" s="40"/>
      <c r="G438" s="40"/>
      <c r="K438" s="40"/>
      <c r="W438" s="63">
        <v>0.45763888888888887</v>
      </c>
      <c r="X438" s="30">
        <v>103</v>
      </c>
      <c r="Y438" s="30">
        <v>73.849999999999994</v>
      </c>
    </row>
    <row r="439" spans="2:25" x14ac:dyDescent="0.3">
      <c r="B439" s="40"/>
      <c r="W439" s="63">
        <v>0.47847222222222219</v>
      </c>
      <c r="X439" s="30">
        <v>95.95</v>
      </c>
      <c r="Y439" s="30">
        <v>75</v>
      </c>
    </row>
    <row r="440" spans="2:25" x14ac:dyDescent="0.3">
      <c r="C440" s="64">
        <v>44215</v>
      </c>
      <c r="F440" s="30">
        <f>AVERAGE(F442,F451)</f>
        <v>14406.525000000001</v>
      </c>
      <c r="G440" s="65"/>
      <c r="H440" s="66">
        <v>0.4368055555555555</v>
      </c>
      <c r="I440" s="66"/>
      <c r="J440" s="66"/>
      <c r="K440" s="66"/>
      <c r="L440" s="67">
        <v>8.3333333333333329E-2</v>
      </c>
      <c r="M440" s="67">
        <v>0.13541666666666666</v>
      </c>
      <c r="Q440" s="132" t="s">
        <v>71</v>
      </c>
      <c r="R440" s="132"/>
      <c r="S440" s="132" t="s">
        <v>37</v>
      </c>
      <c r="T440" s="132"/>
      <c r="U440" s="69"/>
      <c r="W440" s="63">
        <v>0.4993055555555555</v>
      </c>
      <c r="X440" s="30">
        <v>109.75</v>
      </c>
      <c r="Y440" s="30">
        <v>61.2</v>
      </c>
    </row>
    <row r="441" spans="2:25" x14ac:dyDescent="0.3">
      <c r="B441" s="34" t="s">
        <v>68</v>
      </c>
      <c r="C441" s="63">
        <v>0.41666666666666669</v>
      </c>
      <c r="D441" s="63">
        <v>0.40763888888888888</v>
      </c>
      <c r="H441" s="23">
        <v>69.150000000000006</v>
      </c>
      <c r="I441" s="7"/>
      <c r="J441" s="7"/>
      <c r="K441" s="7"/>
      <c r="L441" s="7"/>
      <c r="M441" s="7"/>
      <c r="Q441" s="61">
        <f>R441-(S441-R441)</f>
        <v>13918.95</v>
      </c>
      <c r="R441" s="61">
        <v>14283.45</v>
      </c>
      <c r="S441" s="61">
        <v>14647.95</v>
      </c>
      <c r="T441" s="61">
        <f>S441+(S441-R441)</f>
        <v>15012.45</v>
      </c>
      <c r="U441" s="71"/>
      <c r="W441" s="63">
        <v>0.52013888888888882</v>
      </c>
      <c r="X441" s="30">
        <v>106.65</v>
      </c>
      <c r="Y441" s="30">
        <v>61.75</v>
      </c>
    </row>
    <row r="442" spans="2:25" x14ac:dyDescent="0.3">
      <c r="B442" s="26">
        <f>B443-50</f>
        <v>14350</v>
      </c>
      <c r="C442" s="30">
        <v>124.55</v>
      </c>
      <c r="D442" s="30">
        <v>116.95</v>
      </c>
      <c r="E442" s="40"/>
      <c r="F442" s="30">
        <f t="shared" ref="F442:F447" si="26">B442+D442</f>
        <v>14466.95</v>
      </c>
      <c r="H442" s="7">
        <v>154.05000000000001</v>
      </c>
      <c r="I442" s="7"/>
      <c r="J442" s="7"/>
      <c r="K442" s="7"/>
      <c r="L442" s="7">
        <v>195.5</v>
      </c>
      <c r="M442" s="7">
        <v>231.15</v>
      </c>
      <c r="S442" s="40"/>
      <c r="W442" s="63">
        <v>0.54097222222222219</v>
      </c>
      <c r="X442" s="30">
        <v>112.85</v>
      </c>
      <c r="Y442" s="30">
        <v>53.1</v>
      </c>
    </row>
    <row r="443" spans="2:25" x14ac:dyDescent="0.3">
      <c r="B443" s="26">
        <f>B444-50</f>
        <v>14400</v>
      </c>
      <c r="C443" s="30">
        <v>96.5</v>
      </c>
      <c r="D443" s="30">
        <v>91</v>
      </c>
      <c r="E443" s="40"/>
      <c r="F443" s="30">
        <f t="shared" si="26"/>
        <v>14491</v>
      </c>
      <c r="H443" s="7">
        <v>121</v>
      </c>
      <c r="I443" s="7"/>
      <c r="J443" s="7"/>
      <c r="K443" s="7"/>
      <c r="L443" s="7">
        <v>156.94999999999999</v>
      </c>
      <c r="M443" s="7">
        <v>188.5</v>
      </c>
      <c r="W443" s="63">
        <v>6.1805555555555558E-2</v>
      </c>
      <c r="X443" s="30">
        <v>116.65</v>
      </c>
      <c r="Y443" s="30">
        <v>50.7</v>
      </c>
    </row>
    <row r="444" spans="2:25" x14ac:dyDescent="0.3">
      <c r="B444" s="26">
        <v>14450</v>
      </c>
      <c r="C444" s="30">
        <v>72.75</v>
      </c>
      <c r="D444" s="7">
        <v>68.650000000000006</v>
      </c>
      <c r="E444" s="40"/>
      <c r="F444" s="30">
        <f t="shared" si="26"/>
        <v>14518.65</v>
      </c>
      <c r="H444" s="7">
        <v>92.5</v>
      </c>
      <c r="I444" s="7"/>
      <c r="J444" s="7"/>
      <c r="K444" s="7"/>
      <c r="L444" s="7">
        <v>121.85</v>
      </c>
      <c r="M444" s="7">
        <v>150</v>
      </c>
      <c r="W444" s="63">
        <v>8.2638888888888887E-2</v>
      </c>
      <c r="X444" s="30">
        <v>121.85</v>
      </c>
      <c r="Y444" s="30">
        <v>44.9</v>
      </c>
    </row>
    <row r="445" spans="2:25" x14ac:dyDescent="0.3">
      <c r="B445" s="26">
        <f>B444+50</f>
        <v>14500</v>
      </c>
      <c r="C445" s="61">
        <v>53.15</v>
      </c>
      <c r="D445" s="23">
        <v>50.15</v>
      </c>
      <c r="E445" s="40"/>
      <c r="F445" s="50">
        <f t="shared" si="26"/>
        <v>14550.15</v>
      </c>
      <c r="H445" s="7">
        <v>68.7</v>
      </c>
      <c r="I445" s="7"/>
      <c r="J445" s="7"/>
      <c r="K445" s="7"/>
      <c r="L445" s="7">
        <v>90.85</v>
      </c>
      <c r="M445" s="7">
        <v>114.7</v>
      </c>
    </row>
    <row r="446" spans="2:25" x14ac:dyDescent="0.3">
      <c r="B446" s="72">
        <f>B445+50</f>
        <v>14550</v>
      </c>
      <c r="C446" s="30">
        <v>37.5</v>
      </c>
      <c r="D446" s="30">
        <v>36.15</v>
      </c>
      <c r="E446" s="40"/>
      <c r="F446" s="30">
        <f t="shared" si="26"/>
        <v>14586.15</v>
      </c>
      <c r="H446" s="7">
        <v>48.5</v>
      </c>
      <c r="I446" s="7"/>
      <c r="J446" s="7"/>
      <c r="K446" s="7"/>
      <c r="L446" s="7">
        <v>65.150000000000006</v>
      </c>
      <c r="M446" s="7">
        <v>83.95</v>
      </c>
      <c r="Q446" s="133" t="s">
        <v>72</v>
      </c>
      <c r="R446" s="134"/>
      <c r="S446" s="135"/>
      <c r="W446" s="34" t="s">
        <v>68</v>
      </c>
      <c r="X446" s="56" t="s">
        <v>69</v>
      </c>
      <c r="Y446" s="57" t="s">
        <v>70</v>
      </c>
    </row>
    <row r="447" spans="2:25" x14ac:dyDescent="0.3">
      <c r="B447" s="26">
        <f>B446+50</f>
        <v>14600</v>
      </c>
      <c r="C447" s="30">
        <v>25.9</v>
      </c>
      <c r="D447" s="30">
        <v>25.15</v>
      </c>
      <c r="E447" s="40"/>
      <c r="F447" s="30">
        <f t="shared" si="26"/>
        <v>14625.15</v>
      </c>
      <c r="H447" s="7">
        <v>33.200000000000003</v>
      </c>
      <c r="I447" s="7"/>
      <c r="J447" s="7"/>
      <c r="K447" s="7"/>
      <c r="L447" s="7">
        <v>43.95</v>
      </c>
      <c r="M447" s="7">
        <v>58.5</v>
      </c>
      <c r="Q447" s="30"/>
      <c r="R447" s="73">
        <v>75</v>
      </c>
      <c r="S447" s="30">
        <f>R447*Q447</f>
        <v>0</v>
      </c>
      <c r="W447" s="63">
        <v>0.41597222222222219</v>
      </c>
      <c r="X447" s="30">
        <v>53.15</v>
      </c>
      <c r="Y447" s="30">
        <v>65.55</v>
      </c>
    </row>
    <row r="448" spans="2:25" x14ac:dyDescent="0.3">
      <c r="E448" s="40">
        <f>F448-(G448-F448)</f>
        <v>47.775000000000006</v>
      </c>
      <c r="F448" s="40">
        <f>AVERAGE(C444,C455)</f>
        <v>69.150000000000006</v>
      </c>
      <c r="G448" s="40">
        <f>AVERAGE(C443,C454)</f>
        <v>90.525000000000006</v>
      </c>
      <c r="H448" s="17"/>
      <c r="I448" s="17"/>
      <c r="J448" s="17"/>
      <c r="K448" s="76"/>
      <c r="L448" s="17"/>
      <c r="M448" s="17"/>
      <c r="Q448" s="30"/>
      <c r="R448" s="73">
        <v>75</v>
      </c>
      <c r="S448" s="30">
        <f>R448*Q448</f>
        <v>0</v>
      </c>
      <c r="W448" s="63">
        <v>0.4368055555555555</v>
      </c>
      <c r="X448" s="30">
        <v>68.7</v>
      </c>
      <c r="Y448" s="30">
        <v>45.2</v>
      </c>
    </row>
    <row r="449" spans="2:25" x14ac:dyDescent="0.3">
      <c r="C449" s="64">
        <v>43851</v>
      </c>
      <c r="E449" s="40"/>
      <c r="F449" s="40">
        <f>AVERAGE(E448,F448)</f>
        <v>58.462500000000006</v>
      </c>
      <c r="G449" s="40"/>
      <c r="H449" s="66">
        <v>0.4368055555555555</v>
      </c>
      <c r="I449" s="66"/>
      <c r="J449" s="66"/>
      <c r="K449" s="66"/>
      <c r="L449" s="67">
        <v>8.3333333333333329E-2</v>
      </c>
      <c r="M449" s="67">
        <v>0.13541666666666666</v>
      </c>
      <c r="Q449" s="30"/>
      <c r="R449" s="73"/>
      <c r="S449" s="30">
        <f>R449*Q449</f>
        <v>0</v>
      </c>
      <c r="W449" s="63">
        <v>0.45763888888888887</v>
      </c>
      <c r="X449" s="30">
        <v>77</v>
      </c>
      <c r="Y449" s="30">
        <v>44.7</v>
      </c>
    </row>
    <row r="450" spans="2:25" x14ac:dyDescent="0.3">
      <c r="B450" s="34" t="s">
        <v>68</v>
      </c>
      <c r="C450" s="63">
        <v>0.41666666666666669</v>
      </c>
      <c r="D450" s="63">
        <v>0.3888888888888889</v>
      </c>
      <c r="E450" s="40">
        <f>F450-(G450-F450)</f>
        <v>55.950000000000017</v>
      </c>
      <c r="F450" s="40">
        <f>AVERAGE(C454,C444)</f>
        <v>78.650000000000006</v>
      </c>
      <c r="G450" s="40">
        <f>AVERAGE(C453,C443)</f>
        <v>101.35</v>
      </c>
      <c r="H450" s="7">
        <v>14461</v>
      </c>
      <c r="I450" s="7"/>
      <c r="J450" s="7"/>
      <c r="K450" s="7"/>
      <c r="L450" s="7"/>
      <c r="M450" s="7"/>
      <c r="Q450" s="30">
        <f>S450/R450</f>
        <v>0</v>
      </c>
      <c r="R450" s="73">
        <f>SUM(R447:R449)</f>
        <v>150</v>
      </c>
      <c r="S450" s="30">
        <f>SUM(S447:S449)</f>
        <v>0</v>
      </c>
      <c r="V450" s="40"/>
      <c r="W450" s="63">
        <v>0.47847222222222219</v>
      </c>
      <c r="X450" s="30">
        <v>71.099999999999994</v>
      </c>
      <c r="Y450" s="30">
        <v>44.9</v>
      </c>
    </row>
    <row r="451" spans="2:25" x14ac:dyDescent="0.3">
      <c r="B451" s="26">
        <f>B452+50</f>
        <v>14500</v>
      </c>
      <c r="C451" s="30">
        <v>163.19999999999999</v>
      </c>
      <c r="D451" s="30">
        <v>153.9</v>
      </c>
      <c r="E451" s="40"/>
      <c r="F451" s="30">
        <f t="shared" ref="F451:F456" si="27">B451-D451</f>
        <v>14346.1</v>
      </c>
      <c r="H451" s="7">
        <v>123.65</v>
      </c>
      <c r="I451" s="7"/>
      <c r="J451" s="7"/>
      <c r="K451" s="7"/>
      <c r="L451" s="7">
        <v>79.099999999999994</v>
      </c>
      <c r="M451" s="7">
        <v>52.95</v>
      </c>
      <c r="P451" s="50">
        <f>S456</f>
        <v>0</v>
      </c>
      <c r="Q451" s="57" t="s">
        <v>72</v>
      </c>
      <c r="S451" s="57" t="s">
        <v>73</v>
      </c>
      <c r="T451" s="23">
        <f>((X447+Y447)-(X456+Y456))</f>
        <v>15.049999999999983</v>
      </c>
      <c r="U451" s="23"/>
      <c r="V451" s="50">
        <f>T451*225</f>
        <v>3386.2499999999964</v>
      </c>
      <c r="W451" s="63">
        <v>0.4993055555555555</v>
      </c>
      <c r="X451" s="30">
        <v>82.6</v>
      </c>
      <c r="Y451" s="30">
        <v>34.9</v>
      </c>
    </row>
    <row r="452" spans="2:25" x14ac:dyDescent="0.3">
      <c r="B452" s="26">
        <f>B453+50</f>
        <v>14450</v>
      </c>
      <c r="C452" s="30">
        <v>133.15</v>
      </c>
      <c r="D452" s="30">
        <v>124.85</v>
      </c>
      <c r="E452" s="40"/>
      <c r="F452" s="30">
        <f t="shared" si="27"/>
        <v>14325.15</v>
      </c>
      <c r="H452" s="7">
        <v>97.8</v>
      </c>
      <c r="I452" s="7"/>
      <c r="J452" s="7"/>
      <c r="K452" s="7"/>
      <c r="L452" s="7">
        <v>59.8</v>
      </c>
      <c r="M452" s="7">
        <v>38.049999999999997</v>
      </c>
      <c r="Q452" s="30"/>
      <c r="R452" s="73">
        <v>75</v>
      </c>
      <c r="S452" s="30">
        <f>R452*Q452</f>
        <v>0</v>
      </c>
      <c r="W452" s="63">
        <v>0.52013888888888882</v>
      </c>
      <c r="X452" s="30">
        <v>80.2</v>
      </c>
      <c r="Y452" s="30">
        <v>34.950000000000003</v>
      </c>
    </row>
    <row r="453" spans="2:25" x14ac:dyDescent="0.3">
      <c r="B453" s="26">
        <v>14400</v>
      </c>
      <c r="C453" s="30">
        <v>106.2</v>
      </c>
      <c r="D453" s="30">
        <v>99.75</v>
      </c>
      <c r="E453" s="40"/>
      <c r="F453" s="30">
        <f t="shared" si="27"/>
        <v>14300.25</v>
      </c>
      <c r="H453" s="7">
        <v>77</v>
      </c>
      <c r="I453" s="7"/>
      <c r="J453" s="7"/>
      <c r="K453" s="7"/>
      <c r="L453" s="7">
        <v>44.9</v>
      </c>
      <c r="M453" s="7">
        <v>27.15</v>
      </c>
      <c r="Q453" s="30"/>
      <c r="R453" s="73">
        <v>75</v>
      </c>
      <c r="S453" s="30">
        <f>R453*Q453</f>
        <v>0</v>
      </c>
      <c r="T453" s="40"/>
      <c r="U453" s="40"/>
      <c r="V453" s="40"/>
      <c r="W453" s="63">
        <v>0.54097222222222219</v>
      </c>
      <c r="X453" s="30">
        <v>85</v>
      </c>
      <c r="Y453" s="30">
        <v>29</v>
      </c>
    </row>
    <row r="454" spans="2:25" x14ac:dyDescent="0.3">
      <c r="B454" s="26">
        <f>B453-50</f>
        <v>14350</v>
      </c>
      <c r="C454" s="30">
        <v>84.55</v>
      </c>
      <c r="D454" s="23">
        <v>78.75</v>
      </c>
      <c r="E454" s="40"/>
      <c r="F454" s="50">
        <f t="shared" si="27"/>
        <v>14271.25</v>
      </c>
      <c r="H454" s="7">
        <v>59.25</v>
      </c>
      <c r="I454" s="7"/>
      <c r="J454" s="7"/>
      <c r="K454" s="7"/>
      <c r="L454" s="7">
        <v>33.35</v>
      </c>
      <c r="M454" s="7">
        <v>19.75</v>
      </c>
      <c r="Q454" s="30"/>
      <c r="R454" s="73"/>
      <c r="S454" s="30">
        <f>R454*Q454</f>
        <v>0</v>
      </c>
      <c r="T454" s="40"/>
      <c r="U454" s="40"/>
      <c r="V454" s="40"/>
      <c r="W454" s="63">
        <v>6.1805555555555558E-2</v>
      </c>
      <c r="X454" s="30">
        <v>87.3</v>
      </c>
      <c r="Y454" s="30">
        <v>28.7</v>
      </c>
    </row>
    <row r="455" spans="2:25" x14ac:dyDescent="0.3">
      <c r="B455" s="72">
        <f>B454-50</f>
        <v>14300</v>
      </c>
      <c r="C455" s="61">
        <v>65.55</v>
      </c>
      <c r="D455" s="7">
        <v>60.25</v>
      </c>
      <c r="E455" s="40"/>
      <c r="F455" s="30">
        <f t="shared" si="27"/>
        <v>14239.75</v>
      </c>
      <c r="H455" s="7">
        <v>45.2</v>
      </c>
      <c r="I455" s="7"/>
      <c r="J455" s="7"/>
      <c r="K455" s="7"/>
      <c r="L455" s="7">
        <v>24.8</v>
      </c>
      <c r="M455" s="7">
        <v>14.95</v>
      </c>
      <c r="Q455" s="30">
        <f>S455/R455</f>
        <v>0</v>
      </c>
      <c r="R455" s="73">
        <f>SUM(R452:R454)</f>
        <v>150</v>
      </c>
      <c r="S455" s="30">
        <f>SUM(S452:S454)</f>
        <v>0</v>
      </c>
      <c r="W455" s="63">
        <v>8.2638888888888887E-2</v>
      </c>
      <c r="X455" s="30">
        <v>90.85</v>
      </c>
      <c r="Y455" s="30">
        <v>24.8</v>
      </c>
    </row>
    <row r="456" spans="2:25" x14ac:dyDescent="0.3">
      <c r="B456" s="26">
        <f>B455-50</f>
        <v>14250</v>
      </c>
      <c r="C456" s="30">
        <v>50.05</v>
      </c>
      <c r="D456" s="7">
        <v>45.9</v>
      </c>
      <c r="E456" s="40"/>
      <c r="F456" s="30">
        <f t="shared" si="27"/>
        <v>14204.1</v>
      </c>
      <c r="H456" s="7">
        <v>34.5</v>
      </c>
      <c r="I456" s="7"/>
      <c r="J456" s="7"/>
      <c r="K456" s="7"/>
      <c r="L456" s="7">
        <v>19.149999999999999</v>
      </c>
      <c r="M456" s="7">
        <v>11.65</v>
      </c>
      <c r="Q456" s="136" t="e">
        <f>S456/(R450-R455)</f>
        <v>#DIV/0!</v>
      </c>
      <c r="R456" s="137"/>
      <c r="S456" s="30">
        <f>S455-S450</f>
        <v>0</v>
      </c>
      <c r="W456" s="63">
        <v>0.4368055555555555</v>
      </c>
      <c r="X456" s="23">
        <v>69.150000000000006</v>
      </c>
      <c r="Y456" s="30">
        <v>34.5</v>
      </c>
    </row>
    <row r="468" spans="2:25" x14ac:dyDescent="0.3">
      <c r="B468" s="40"/>
      <c r="C468" s="50">
        <f>B469+E469</f>
        <v>14613.15</v>
      </c>
      <c r="D468" s="51">
        <f>C468+E469</f>
        <v>14653.15</v>
      </c>
      <c r="E468" s="21"/>
      <c r="F468" s="21"/>
      <c r="H468" s="52" t="str">
        <f>IF((C477-D477)&gt;(C486-D486),"LONG",IF(C486&gt;D484,"LONG","SHORT"))</f>
        <v>LONG</v>
      </c>
      <c r="I468" s="138" t="s">
        <v>85</v>
      </c>
      <c r="J468" s="139"/>
      <c r="K468" s="140"/>
      <c r="L468" s="53">
        <f>AVERAGE(L469:L470)</f>
        <v>111.27500000000001</v>
      </c>
      <c r="Q468" s="54">
        <v>0.39166666666666666</v>
      </c>
      <c r="R468" s="54">
        <v>0.39861111111111108</v>
      </c>
      <c r="S468" s="54">
        <v>0.4055555555555555</v>
      </c>
      <c r="T468" s="54">
        <v>0.41250000000000003</v>
      </c>
      <c r="U468" s="55"/>
      <c r="W468" s="34" t="s">
        <v>68</v>
      </c>
      <c r="X468" s="56" t="s">
        <v>69</v>
      </c>
      <c r="Y468" s="57" t="s">
        <v>70</v>
      </c>
    </row>
    <row r="469" spans="2:25" x14ac:dyDescent="0.3">
      <c r="B469" s="50">
        <v>14573.15</v>
      </c>
      <c r="C469" s="40"/>
      <c r="D469" s="58"/>
      <c r="E469" s="59">
        <f>ROUND((((B469*F469%)/4)/10),0)*10</f>
        <v>40</v>
      </c>
      <c r="F469" s="51">
        <v>1.1000000000000001</v>
      </c>
      <c r="H469" s="60" t="s">
        <v>69</v>
      </c>
      <c r="I469" s="61">
        <f>AVERAGE(C486,C475)</f>
        <v>84.974999999999994</v>
      </c>
      <c r="J469" s="61">
        <f>AVERAGE(C486,C476)</f>
        <v>68.575000000000003</v>
      </c>
      <c r="K469" s="61">
        <f>AVERAGE(C486,C477)</f>
        <v>55.05</v>
      </c>
      <c r="L469" s="61">
        <f>C475</f>
        <v>108.55</v>
      </c>
      <c r="Q469" s="51">
        <v>14586.95</v>
      </c>
      <c r="R469" s="51">
        <v>14555.8</v>
      </c>
      <c r="S469" s="51">
        <v>14560.2</v>
      </c>
      <c r="T469" s="51">
        <v>14575.25</v>
      </c>
      <c r="U469" s="62"/>
      <c r="W469" s="63">
        <v>0.41597222222222219</v>
      </c>
      <c r="X469" s="30">
        <v>48.7</v>
      </c>
      <c r="Y469" s="30">
        <v>61.4</v>
      </c>
    </row>
    <row r="470" spans="2:25" x14ac:dyDescent="0.3">
      <c r="B470" s="40"/>
      <c r="C470" s="50">
        <f>B469-E469</f>
        <v>14533.15</v>
      </c>
      <c r="D470" s="51">
        <f>C470-E469</f>
        <v>14493.15</v>
      </c>
      <c r="E470" s="21"/>
      <c r="F470" s="21"/>
      <c r="H470" s="60" t="s">
        <v>70</v>
      </c>
      <c r="I470" s="61">
        <f>AVERAGE(C477,C484)</f>
        <v>81.349999999999994</v>
      </c>
      <c r="J470" s="61">
        <f>AVERAGE(C477,C485)</f>
        <v>66.575000000000003</v>
      </c>
      <c r="K470" s="61">
        <f>AVERAGE(C477,C486)</f>
        <v>55.05</v>
      </c>
      <c r="L470" s="61">
        <f>C484</f>
        <v>114</v>
      </c>
      <c r="W470" s="63">
        <v>0.4368055555555555</v>
      </c>
      <c r="X470" s="30">
        <v>57.65</v>
      </c>
      <c r="Y470" s="30">
        <v>50.6</v>
      </c>
    </row>
    <row r="471" spans="2:25" x14ac:dyDescent="0.3">
      <c r="F471" s="40"/>
      <c r="G471" s="40"/>
      <c r="K471" s="40"/>
      <c r="W471" s="63">
        <v>0.45763888888888887</v>
      </c>
      <c r="X471" s="30">
        <v>67.150000000000006</v>
      </c>
      <c r="Y471" s="30">
        <v>38.25</v>
      </c>
    </row>
    <row r="472" spans="2:25" x14ac:dyDescent="0.3">
      <c r="B472" s="40"/>
      <c r="W472" s="63">
        <v>0.47847222222222219</v>
      </c>
      <c r="X472" s="30">
        <v>66.8</v>
      </c>
      <c r="Y472" s="30">
        <v>35.4</v>
      </c>
    </row>
    <row r="473" spans="2:25" x14ac:dyDescent="0.3">
      <c r="C473" s="64">
        <v>44216</v>
      </c>
      <c r="F473" s="30">
        <f>AVERAGE(F475,F484)</f>
        <v>14564.674999999999</v>
      </c>
      <c r="G473" s="65"/>
      <c r="H473" s="66">
        <v>0.10555555555555556</v>
      </c>
      <c r="I473" s="66">
        <v>0.11527777777777777</v>
      </c>
      <c r="J473" s="66"/>
      <c r="K473" s="66"/>
      <c r="L473" s="67">
        <v>8.3333333333333329E-2</v>
      </c>
      <c r="M473" s="67">
        <v>0.13541666666666666</v>
      </c>
      <c r="Q473" s="132" t="s">
        <v>71</v>
      </c>
      <c r="R473" s="132"/>
      <c r="S473" s="132" t="s">
        <v>37</v>
      </c>
      <c r="T473" s="132"/>
      <c r="U473" s="69"/>
      <c r="W473" s="63">
        <v>0.4993055555555555</v>
      </c>
      <c r="X473" s="30">
        <v>65.2</v>
      </c>
      <c r="Y473" s="30">
        <v>34.700000000000003</v>
      </c>
    </row>
    <row r="474" spans="2:25" x14ac:dyDescent="0.3">
      <c r="B474" s="34" t="s">
        <v>68</v>
      </c>
      <c r="C474" s="63">
        <v>0.41666666666666669</v>
      </c>
      <c r="D474" s="63">
        <v>0.40347222222222223</v>
      </c>
      <c r="H474" s="23">
        <v>46.3</v>
      </c>
      <c r="I474" s="23">
        <v>40.700000000000003</v>
      </c>
      <c r="J474" s="7"/>
      <c r="K474" s="7"/>
      <c r="L474" s="7">
        <v>14627</v>
      </c>
      <c r="M474" s="7">
        <v>14652.35</v>
      </c>
      <c r="Q474" s="61">
        <f>R474-(S474-R474)</f>
        <v>13913.750000000002</v>
      </c>
      <c r="R474" s="61">
        <v>14283.45</v>
      </c>
      <c r="S474" s="61">
        <v>14653.15</v>
      </c>
      <c r="T474" s="61">
        <f>S474+(S474-R474)</f>
        <v>15022.849999999999</v>
      </c>
      <c r="U474" s="71"/>
      <c r="W474" s="63">
        <v>0.52013888888888882</v>
      </c>
      <c r="X474" s="30">
        <v>51.8</v>
      </c>
      <c r="Y474" s="30">
        <v>45.25</v>
      </c>
    </row>
    <row r="475" spans="2:25" x14ac:dyDescent="0.3">
      <c r="B475" s="26">
        <f>B476-50</f>
        <v>14500</v>
      </c>
      <c r="C475" s="30">
        <v>108.55</v>
      </c>
      <c r="D475" s="30">
        <v>90.8</v>
      </c>
      <c r="E475" s="40"/>
      <c r="F475" s="30">
        <f t="shared" ref="F475:F480" si="28">B475+D475</f>
        <v>14590.8</v>
      </c>
      <c r="H475" s="7">
        <v>161.85</v>
      </c>
      <c r="I475" s="7">
        <v>153</v>
      </c>
      <c r="J475" s="7"/>
      <c r="K475" s="7"/>
      <c r="L475" s="7">
        <v>138.35</v>
      </c>
      <c r="M475" s="7">
        <v>156.05000000000001</v>
      </c>
      <c r="S475" s="40"/>
      <c r="W475" s="63">
        <v>0.54097222222222219</v>
      </c>
      <c r="X475" s="30">
        <v>60.6</v>
      </c>
      <c r="Y475" s="30">
        <v>32.1</v>
      </c>
    </row>
    <row r="476" spans="2:25" x14ac:dyDescent="0.3">
      <c r="B476" s="26">
        <f>B477-50</f>
        <v>14550</v>
      </c>
      <c r="C476" s="30">
        <v>75.75</v>
      </c>
      <c r="D476" s="30">
        <v>62.5</v>
      </c>
      <c r="E476" s="40"/>
      <c r="F476" s="30">
        <f t="shared" si="28"/>
        <v>14612.5</v>
      </c>
      <c r="H476" s="7">
        <v>118.4</v>
      </c>
      <c r="I476" s="7">
        <v>110</v>
      </c>
      <c r="J476" s="7"/>
      <c r="K476" s="7"/>
      <c r="L476" s="7">
        <v>97.8</v>
      </c>
      <c r="M476" s="7">
        <v>112.85</v>
      </c>
      <c r="W476" s="63">
        <v>6.1805555555555558E-2</v>
      </c>
      <c r="X476" s="30">
        <v>59.3</v>
      </c>
      <c r="Y476" s="30">
        <v>32.1</v>
      </c>
    </row>
    <row r="477" spans="2:25" x14ac:dyDescent="0.3">
      <c r="B477" s="26">
        <v>14600</v>
      </c>
      <c r="C477" s="30">
        <v>48.7</v>
      </c>
      <c r="D477" s="7">
        <v>39.35</v>
      </c>
      <c r="E477" s="40"/>
      <c r="F477" s="30">
        <f t="shared" si="28"/>
        <v>14639.35</v>
      </c>
      <c r="H477" s="7">
        <v>79.45</v>
      </c>
      <c r="I477" s="7">
        <v>71.650000000000006</v>
      </c>
      <c r="J477" s="7"/>
      <c r="K477" s="7"/>
      <c r="L477" s="7">
        <v>63.25</v>
      </c>
      <c r="M477" s="7">
        <v>73.45</v>
      </c>
      <c r="W477" s="63">
        <v>8.2638888888888887E-2</v>
      </c>
      <c r="X477" s="30">
        <v>63.25</v>
      </c>
      <c r="Y477" s="30">
        <v>27.25</v>
      </c>
    </row>
    <row r="478" spans="2:25" x14ac:dyDescent="0.3">
      <c r="B478" s="26">
        <f>B477+50</f>
        <v>14650</v>
      </c>
      <c r="C478" s="61">
        <v>28.4</v>
      </c>
      <c r="D478" s="23">
        <v>22.55</v>
      </c>
      <c r="E478" s="40"/>
      <c r="F478" s="50">
        <f t="shared" si="28"/>
        <v>14672.55</v>
      </c>
      <c r="H478" s="7">
        <v>48.1</v>
      </c>
      <c r="I478" s="7">
        <v>41.4</v>
      </c>
      <c r="J478" s="7"/>
      <c r="K478" s="7"/>
      <c r="L478" s="7">
        <v>36.1</v>
      </c>
      <c r="M478" s="7">
        <v>41.6</v>
      </c>
    </row>
    <row r="479" spans="2:25" x14ac:dyDescent="0.3">
      <c r="B479" s="72">
        <f>B478+50</f>
        <v>14700</v>
      </c>
      <c r="C479" s="30">
        <v>15.5</v>
      </c>
      <c r="D479" s="30">
        <v>12.6</v>
      </c>
      <c r="E479" s="40"/>
      <c r="F479" s="30">
        <f t="shared" si="28"/>
        <v>14712.6</v>
      </c>
      <c r="H479" s="7">
        <v>25.7</v>
      </c>
      <c r="I479" s="7">
        <v>21</v>
      </c>
      <c r="J479" s="7"/>
      <c r="K479" s="7"/>
      <c r="L479" s="7">
        <v>18.55</v>
      </c>
      <c r="M479" s="7">
        <v>20.5</v>
      </c>
      <c r="Q479" s="133" t="s">
        <v>72</v>
      </c>
      <c r="R479" s="134"/>
      <c r="S479" s="135"/>
      <c r="W479" s="34" t="s">
        <v>68</v>
      </c>
      <c r="X479" s="56" t="s">
        <v>69</v>
      </c>
      <c r="Y479" s="57" t="s">
        <v>70</v>
      </c>
    </row>
    <row r="480" spans="2:25" x14ac:dyDescent="0.3">
      <c r="B480" s="26">
        <f>B479+50</f>
        <v>14750</v>
      </c>
      <c r="C480" s="30">
        <v>7.5</v>
      </c>
      <c r="D480" s="30">
        <v>6.5</v>
      </c>
      <c r="E480" s="40"/>
      <c r="F480" s="30">
        <f t="shared" si="28"/>
        <v>14756.5</v>
      </c>
      <c r="H480" s="7">
        <v>11.8</v>
      </c>
      <c r="I480" s="7">
        <v>9.35</v>
      </c>
      <c r="J480" s="7"/>
      <c r="K480" s="7"/>
      <c r="L480" s="7">
        <v>8.25</v>
      </c>
      <c r="M480" s="7">
        <v>8.75</v>
      </c>
      <c r="Q480" s="30">
        <v>40.700000000000003</v>
      </c>
      <c r="R480" s="73">
        <v>150</v>
      </c>
      <c r="S480" s="30">
        <f>R480*Q480</f>
        <v>6105</v>
      </c>
      <c r="W480" s="63">
        <v>0.41597222222222219</v>
      </c>
      <c r="X480" s="30">
        <v>28.4</v>
      </c>
      <c r="Y480" s="30">
        <v>43.95</v>
      </c>
    </row>
    <row r="481" spans="2:25" x14ac:dyDescent="0.3">
      <c r="E481" s="40">
        <f>F481-(G481-F481)</f>
        <v>24.075000000000003</v>
      </c>
      <c r="F481" s="40">
        <f>AVERAGE(C477,C487)</f>
        <v>46.325000000000003</v>
      </c>
      <c r="G481" s="40">
        <f>AVERAGE(C476,C486)</f>
        <v>68.575000000000003</v>
      </c>
      <c r="H481" s="17"/>
      <c r="I481" s="17"/>
      <c r="J481" s="17"/>
      <c r="K481" s="76"/>
      <c r="L481" s="17"/>
      <c r="M481" s="17"/>
      <c r="Q481" s="30"/>
      <c r="R481" s="73"/>
      <c r="S481" s="30">
        <f>R481*Q481</f>
        <v>0</v>
      </c>
      <c r="W481" s="63">
        <v>0.4368055555555555</v>
      </c>
      <c r="X481" s="30">
        <v>35</v>
      </c>
      <c r="Y481" s="30">
        <v>35.1</v>
      </c>
    </row>
    <row r="482" spans="2:25" x14ac:dyDescent="0.3">
      <c r="C482" s="64">
        <v>43851</v>
      </c>
      <c r="E482" s="40"/>
      <c r="F482" s="40">
        <f>AVERAGE(F481,E481)</f>
        <v>35.200000000000003</v>
      </c>
      <c r="G482" s="40"/>
      <c r="H482" s="66">
        <v>0.10555555555555556</v>
      </c>
      <c r="I482" s="66">
        <v>0.11527777777777777</v>
      </c>
      <c r="J482" s="66"/>
      <c r="K482" s="66"/>
      <c r="L482" s="67">
        <v>8.3333333333333329E-2</v>
      </c>
      <c r="M482" s="67">
        <v>0.13541666666666666</v>
      </c>
      <c r="Q482" s="30"/>
      <c r="R482" s="73"/>
      <c r="S482" s="30">
        <f>R482*Q482</f>
        <v>0</v>
      </c>
      <c r="W482" s="63">
        <v>0.45763888888888887</v>
      </c>
      <c r="X482" s="30">
        <v>41.65</v>
      </c>
      <c r="Y482" s="30">
        <v>25.2</v>
      </c>
    </row>
    <row r="483" spans="2:25" x14ac:dyDescent="0.3">
      <c r="B483" s="34" t="s">
        <v>68</v>
      </c>
      <c r="C483" s="63">
        <v>0.41666666666666669</v>
      </c>
      <c r="D483" s="63">
        <v>0.39305555555555555</v>
      </c>
      <c r="E483" s="40">
        <f>F483-(G483-F483)</f>
        <v>30</v>
      </c>
      <c r="F483" s="40">
        <f>AVERAGE(C486,C477)</f>
        <v>55.05</v>
      </c>
      <c r="G483" s="40">
        <f>AVERAGE(C485,C476)</f>
        <v>80.099999999999994</v>
      </c>
      <c r="H483" s="7">
        <v>14660.9</v>
      </c>
      <c r="I483" s="7">
        <v>14650</v>
      </c>
      <c r="J483" s="7"/>
      <c r="K483" s="7"/>
      <c r="L483" s="7">
        <v>14627</v>
      </c>
      <c r="M483" s="7">
        <v>14652.35</v>
      </c>
      <c r="Q483" s="30">
        <f>S483/R483</f>
        <v>40.700000000000003</v>
      </c>
      <c r="R483" s="73">
        <f>SUM(R480:R482)</f>
        <v>150</v>
      </c>
      <c r="S483" s="30">
        <f>SUM(S480:S482)</f>
        <v>6105</v>
      </c>
      <c r="V483" s="40"/>
      <c r="W483" s="63">
        <v>0.47847222222222219</v>
      </c>
      <c r="X483" s="30">
        <v>40.950000000000003</v>
      </c>
      <c r="Y483" s="30">
        <v>22.9</v>
      </c>
    </row>
    <row r="484" spans="2:25" x14ac:dyDescent="0.3">
      <c r="B484" s="26">
        <f>B485+50</f>
        <v>14650</v>
      </c>
      <c r="C484" s="30">
        <v>114</v>
      </c>
      <c r="D484" s="30">
        <v>111.45</v>
      </c>
      <c r="E484" s="40"/>
      <c r="F484" s="30">
        <f t="shared" ref="F484:F489" si="29">B484-D484</f>
        <v>14538.55</v>
      </c>
      <c r="H484" s="7">
        <v>48</v>
      </c>
      <c r="I484" s="7">
        <v>40.65</v>
      </c>
      <c r="J484" s="7"/>
      <c r="K484" s="7"/>
      <c r="L484" s="7">
        <v>65.400000000000006</v>
      </c>
      <c r="M484" s="7">
        <v>46.45</v>
      </c>
      <c r="P484" s="50">
        <f>S489</f>
        <v>135</v>
      </c>
      <c r="Q484" s="57" t="s">
        <v>72</v>
      </c>
      <c r="S484" s="57" t="s">
        <v>73</v>
      </c>
      <c r="T484" s="23">
        <f>((X480+Y480)-(X489+Y489))</f>
        <v>18.599999999999994</v>
      </c>
      <c r="U484" s="23"/>
      <c r="V484" s="50">
        <f>T484*225</f>
        <v>4184.9999999999991</v>
      </c>
      <c r="W484" s="63">
        <v>0.4993055555555555</v>
      </c>
      <c r="X484" s="30">
        <v>39.549999999999997</v>
      </c>
      <c r="Y484" s="30">
        <v>22.5</v>
      </c>
    </row>
    <row r="485" spans="2:25" x14ac:dyDescent="0.3">
      <c r="B485" s="26">
        <f>B486+50</f>
        <v>14600</v>
      </c>
      <c r="C485" s="30">
        <v>84.45</v>
      </c>
      <c r="D485" s="30">
        <v>83.25</v>
      </c>
      <c r="E485" s="40"/>
      <c r="F485" s="30">
        <f t="shared" si="29"/>
        <v>14516.75</v>
      </c>
      <c r="H485" s="7">
        <v>29.35</v>
      </c>
      <c r="I485" s="7">
        <v>31</v>
      </c>
      <c r="J485" s="7"/>
      <c r="K485" s="7"/>
      <c r="L485" s="7">
        <v>42.75</v>
      </c>
      <c r="M485" s="7">
        <v>28.1</v>
      </c>
      <c r="Q485" s="30">
        <v>41.6</v>
      </c>
      <c r="R485" s="73">
        <v>150</v>
      </c>
      <c r="S485" s="30">
        <f>R485*Q485</f>
        <v>6240</v>
      </c>
      <c r="W485" s="63">
        <v>0.52013888888888882</v>
      </c>
      <c r="X485" s="30">
        <v>29.8</v>
      </c>
      <c r="Y485" s="30">
        <v>30.55</v>
      </c>
    </row>
    <row r="486" spans="2:25" x14ac:dyDescent="0.3">
      <c r="B486" s="26">
        <v>14550</v>
      </c>
      <c r="C486" s="30">
        <v>61.4</v>
      </c>
      <c r="D486" s="7">
        <v>60.6</v>
      </c>
      <c r="E486" s="40"/>
      <c r="F486" s="30">
        <f t="shared" si="29"/>
        <v>14489.4</v>
      </c>
      <c r="H486" s="7">
        <v>18.25</v>
      </c>
      <c r="I486" s="7">
        <v>19.100000000000001</v>
      </c>
      <c r="J486" s="7"/>
      <c r="K486" s="7"/>
      <c r="L486" s="7">
        <v>27.25</v>
      </c>
      <c r="M486" s="7">
        <v>17.350000000000001</v>
      </c>
      <c r="Q486" s="30"/>
      <c r="R486" s="73"/>
      <c r="S486" s="30">
        <f>R486*Q486</f>
        <v>0</v>
      </c>
      <c r="T486" s="40"/>
      <c r="U486" s="40"/>
      <c r="V486" s="40"/>
      <c r="W486" s="63">
        <v>0.54097222222222219</v>
      </c>
      <c r="X486" s="30">
        <v>35.25</v>
      </c>
      <c r="Y486" s="30">
        <v>20.65</v>
      </c>
    </row>
    <row r="487" spans="2:25" x14ac:dyDescent="0.3">
      <c r="B487" s="26">
        <f>B486-50</f>
        <v>14500</v>
      </c>
      <c r="C487" s="61">
        <v>43.95</v>
      </c>
      <c r="D487" s="23">
        <v>41.95</v>
      </c>
      <c r="E487" s="40"/>
      <c r="F487" s="50">
        <f t="shared" si="29"/>
        <v>14458.05</v>
      </c>
      <c r="H487" s="7">
        <v>11.7</v>
      </c>
      <c r="I487" s="7">
        <v>12.05</v>
      </c>
      <c r="J487" s="7"/>
      <c r="K487" s="7"/>
      <c r="L487" s="7">
        <v>17.649999999999999</v>
      </c>
      <c r="M487" s="7">
        <v>11.15</v>
      </c>
      <c r="Q487" s="30"/>
      <c r="R487" s="73"/>
      <c r="S487" s="30">
        <f>R487*Q487</f>
        <v>0</v>
      </c>
      <c r="T487" s="40"/>
      <c r="U487" s="40"/>
      <c r="V487" s="40"/>
      <c r="W487" s="63">
        <v>6.1805555555555558E-2</v>
      </c>
      <c r="X487" s="30">
        <v>34.35</v>
      </c>
      <c r="Y487" s="30">
        <v>21</v>
      </c>
    </row>
    <row r="488" spans="2:25" x14ac:dyDescent="0.3">
      <c r="B488" s="72">
        <f>B487-50</f>
        <v>14450</v>
      </c>
      <c r="C488" s="30">
        <v>30.8</v>
      </c>
      <c r="D488" s="7">
        <v>30.15</v>
      </c>
      <c r="E488" s="40"/>
      <c r="F488" s="30">
        <f t="shared" si="29"/>
        <v>14419.85</v>
      </c>
      <c r="H488" s="7">
        <v>7.9</v>
      </c>
      <c r="I488" s="7">
        <v>8</v>
      </c>
      <c r="J488" s="7"/>
      <c r="K488" s="7"/>
      <c r="L488" s="7">
        <v>11.4</v>
      </c>
      <c r="M488" s="7">
        <v>7.3</v>
      </c>
      <c r="Q488" s="30">
        <f>S488/R488</f>
        <v>41.6</v>
      </c>
      <c r="R488" s="73">
        <f>SUM(R485:R487)</f>
        <v>150</v>
      </c>
      <c r="S488" s="30">
        <f>SUM(S485:S487)</f>
        <v>6240</v>
      </c>
      <c r="W488" s="63">
        <v>8.2638888888888887E-2</v>
      </c>
      <c r="X488" s="30">
        <v>36.1</v>
      </c>
      <c r="Y488" s="30">
        <v>17.649999999999999</v>
      </c>
    </row>
    <row r="489" spans="2:25" x14ac:dyDescent="0.3">
      <c r="B489" s="26">
        <f>B488-50</f>
        <v>14400</v>
      </c>
      <c r="C489" s="30">
        <v>22.1</v>
      </c>
      <c r="D489" s="30">
        <v>21.15</v>
      </c>
      <c r="E489" s="40"/>
      <c r="F489" s="30">
        <f t="shared" si="29"/>
        <v>14378.85</v>
      </c>
      <c r="H489" s="7">
        <v>5.55</v>
      </c>
      <c r="I489" s="7">
        <v>5.65</v>
      </c>
      <c r="J489" s="7"/>
      <c r="K489" s="7"/>
      <c r="L489" s="7">
        <v>7.7</v>
      </c>
      <c r="M489" s="7">
        <v>5.2</v>
      </c>
      <c r="Q489" s="136" t="e">
        <f>S489/(R483-R488)</f>
        <v>#DIV/0!</v>
      </c>
      <c r="R489" s="137"/>
      <c r="S489" s="30">
        <f>S488-S483</f>
        <v>135</v>
      </c>
      <c r="W489" s="67">
        <v>8.3333333333333329E-2</v>
      </c>
      <c r="X489" s="30">
        <v>36.1</v>
      </c>
      <c r="Y489" s="30">
        <v>17.649999999999999</v>
      </c>
    </row>
    <row r="501" spans="2:25" x14ac:dyDescent="0.3">
      <c r="B501" s="40"/>
      <c r="C501" s="50">
        <f>B502+E502</f>
        <v>14757</v>
      </c>
      <c r="D501" s="51">
        <f>C501+E502</f>
        <v>14797</v>
      </c>
      <c r="E501" s="21"/>
      <c r="F501" s="21"/>
      <c r="H501" s="52" t="str">
        <f>IF((C510-D510)&gt;(C519-D519),"LONG",IF(C519&gt;D517,"LONG","SHORT"))</f>
        <v>SHORT</v>
      </c>
      <c r="I501" s="138" t="s">
        <v>86</v>
      </c>
      <c r="J501" s="139"/>
      <c r="K501" s="140"/>
      <c r="L501" s="53">
        <f>AVERAGE(L502:L503)</f>
        <v>159.60000000000002</v>
      </c>
      <c r="Q501" s="54">
        <v>0.39166666666666666</v>
      </c>
      <c r="R501" s="54">
        <v>0.39861111111111108</v>
      </c>
      <c r="S501" s="54">
        <v>0.4055555555555555</v>
      </c>
      <c r="T501" s="54">
        <v>0.41250000000000003</v>
      </c>
      <c r="U501" s="55"/>
      <c r="W501" s="34" t="s">
        <v>68</v>
      </c>
      <c r="X501" s="56" t="s">
        <v>69</v>
      </c>
      <c r="Y501" s="57" t="s">
        <v>70</v>
      </c>
    </row>
    <row r="502" spans="2:25" x14ac:dyDescent="0.3">
      <c r="B502" s="50">
        <v>14717</v>
      </c>
      <c r="C502" s="40"/>
      <c r="D502" s="58"/>
      <c r="E502" s="59">
        <f>ROUND((((B502*F502%)/4)/10),0)*10</f>
        <v>40</v>
      </c>
      <c r="F502" s="51">
        <v>1.1000000000000001</v>
      </c>
      <c r="H502" s="60" t="s">
        <v>69</v>
      </c>
      <c r="I502" s="61">
        <f>AVERAGE(C519,C508)</f>
        <v>133.94999999999999</v>
      </c>
      <c r="J502" s="61">
        <f>AVERAGE(C519,C509)</f>
        <v>118.82499999999999</v>
      </c>
      <c r="K502" s="61">
        <f>AVERAGE(C519,C510)</f>
        <v>105.6</v>
      </c>
      <c r="L502" s="61">
        <f>C508</f>
        <v>157.80000000000001</v>
      </c>
      <c r="Q502" s="51">
        <v>14725</v>
      </c>
      <c r="R502" s="51">
        <v>14727.85</v>
      </c>
      <c r="S502" s="51">
        <v>14732.65</v>
      </c>
      <c r="T502" s="51">
        <v>14721</v>
      </c>
      <c r="U502" s="62"/>
      <c r="W502" s="63">
        <v>0.41597222222222219</v>
      </c>
      <c r="X502" s="30">
        <v>101.1</v>
      </c>
      <c r="Y502" s="30">
        <v>110.1</v>
      </c>
    </row>
    <row r="503" spans="2:25" x14ac:dyDescent="0.3">
      <c r="B503" s="40"/>
      <c r="C503" s="50">
        <f>B502-E502</f>
        <v>14677</v>
      </c>
      <c r="D503" s="51">
        <f>C503-E502</f>
        <v>14637</v>
      </c>
      <c r="E503" s="21"/>
      <c r="F503" s="21"/>
      <c r="H503" s="60" t="s">
        <v>70</v>
      </c>
      <c r="I503" s="61">
        <f>AVERAGE(C510,C517)</f>
        <v>131.25</v>
      </c>
      <c r="J503" s="61">
        <f>AVERAGE(C510,C518)</f>
        <v>117.55</v>
      </c>
      <c r="K503" s="61">
        <f>AVERAGE(C510,C519)</f>
        <v>105.6</v>
      </c>
      <c r="L503" s="61">
        <f>C517</f>
        <v>161.4</v>
      </c>
      <c r="W503" s="63">
        <v>0.4368055555555555</v>
      </c>
      <c r="X503" s="30">
        <v>106.8</v>
      </c>
      <c r="Y503" s="30">
        <v>102.15</v>
      </c>
    </row>
    <row r="504" spans="2:25" x14ac:dyDescent="0.3">
      <c r="F504" s="40"/>
      <c r="G504" s="40"/>
      <c r="K504" s="40"/>
      <c r="W504" s="63">
        <v>0.45763888888888887</v>
      </c>
      <c r="X504" s="30">
        <v>114.1</v>
      </c>
      <c r="Y504" s="30">
        <v>93.85</v>
      </c>
    </row>
    <row r="505" spans="2:25" x14ac:dyDescent="0.3">
      <c r="B505" s="40"/>
      <c r="W505" s="63">
        <v>0.47847222222222219</v>
      </c>
      <c r="X505" s="30">
        <v>118.15</v>
      </c>
      <c r="Y505" s="30">
        <v>92</v>
      </c>
    </row>
    <row r="506" spans="2:25" x14ac:dyDescent="0.3">
      <c r="C506" s="64">
        <v>44217</v>
      </c>
      <c r="F506" s="30">
        <f>AVERAGE(F508,F517)</f>
        <v>14728.900000000001</v>
      </c>
      <c r="G506" s="65"/>
      <c r="H506" s="66">
        <v>0.11458333333333333</v>
      </c>
      <c r="I506" s="66">
        <v>0.1173611111111111</v>
      </c>
      <c r="J506" s="66"/>
      <c r="K506" s="66"/>
      <c r="L506" s="67">
        <v>8.3333333333333329E-2</v>
      </c>
      <c r="M506" s="67">
        <v>0.13541666666666666</v>
      </c>
      <c r="Q506" s="132" t="s">
        <v>71</v>
      </c>
      <c r="R506" s="132"/>
      <c r="S506" s="132" t="s">
        <v>37</v>
      </c>
      <c r="T506" s="132"/>
      <c r="U506" s="69"/>
      <c r="W506" s="63">
        <v>0.4993055555555555</v>
      </c>
      <c r="X506" s="30">
        <v>115.75</v>
      </c>
      <c r="Y506" s="30">
        <v>95.9</v>
      </c>
    </row>
    <row r="507" spans="2:25" x14ac:dyDescent="0.3">
      <c r="B507" s="34" t="s">
        <v>68</v>
      </c>
      <c r="C507" s="63">
        <v>0.41666666666666669</v>
      </c>
      <c r="D507" s="63">
        <v>0.38611111111111113</v>
      </c>
      <c r="H507" s="7">
        <v>14681.55</v>
      </c>
      <c r="I507" s="7">
        <v>14640.25</v>
      </c>
      <c r="J507" s="7"/>
      <c r="K507" s="7"/>
      <c r="L507" s="7">
        <v>14745.1</v>
      </c>
      <c r="M507" s="7">
        <v>14598.7</v>
      </c>
      <c r="Q507" s="61">
        <f>R507-(S507-R507)</f>
        <v>13913.750000000002</v>
      </c>
      <c r="R507" s="61">
        <v>14283.45</v>
      </c>
      <c r="S507" s="61">
        <v>14653.15</v>
      </c>
      <c r="T507" s="61">
        <f>S507+(S507-R507)</f>
        <v>15022.849999999999</v>
      </c>
      <c r="U507" s="71"/>
      <c r="W507" s="63">
        <v>0.52013888888888882</v>
      </c>
      <c r="X507" s="30">
        <v>117.95</v>
      </c>
      <c r="Y507" s="30">
        <v>91.25</v>
      </c>
    </row>
    <row r="508" spans="2:25" x14ac:dyDescent="0.3">
      <c r="B508" s="26">
        <f>B509-50</f>
        <v>14650</v>
      </c>
      <c r="C508" s="30">
        <v>157.80000000000001</v>
      </c>
      <c r="D508" s="30">
        <v>155.94999999999999</v>
      </c>
      <c r="E508" s="40"/>
      <c r="F508" s="30">
        <f t="shared" ref="F508:F513" si="30">B508+D508</f>
        <v>14805.95</v>
      </c>
      <c r="H508" s="7">
        <v>138</v>
      </c>
      <c r="I508" s="7">
        <v>121.55</v>
      </c>
      <c r="J508" s="7"/>
      <c r="K508" s="7"/>
      <c r="L508" s="7">
        <v>173.95</v>
      </c>
      <c r="M508" s="7">
        <v>122.75</v>
      </c>
      <c r="S508" s="40"/>
      <c r="W508" s="63">
        <v>0.54097222222222219</v>
      </c>
      <c r="X508" s="30">
        <v>113.05</v>
      </c>
      <c r="Y508" s="30">
        <v>96.9</v>
      </c>
    </row>
    <row r="509" spans="2:25" x14ac:dyDescent="0.3">
      <c r="B509" s="26">
        <f>B510-50</f>
        <v>14700</v>
      </c>
      <c r="C509" s="30">
        <v>127.55</v>
      </c>
      <c r="D509" s="30">
        <v>126.25</v>
      </c>
      <c r="E509" s="40"/>
      <c r="F509" s="30">
        <f t="shared" si="30"/>
        <v>14826.25</v>
      </c>
      <c r="H509" s="7">
        <v>110.3</v>
      </c>
      <c r="I509" s="7">
        <v>96.5</v>
      </c>
      <c r="J509" s="7"/>
      <c r="K509" s="7"/>
      <c r="L509" s="7">
        <v>142.85</v>
      </c>
      <c r="M509" s="7">
        <v>100</v>
      </c>
      <c r="W509" s="63">
        <v>6.1805555555555558E-2</v>
      </c>
      <c r="X509" s="30">
        <v>121.2</v>
      </c>
      <c r="Y509" s="30">
        <v>89.3</v>
      </c>
    </row>
    <row r="510" spans="2:25" x14ac:dyDescent="0.3">
      <c r="B510" s="26">
        <v>14750</v>
      </c>
      <c r="C510" s="30">
        <v>101.1</v>
      </c>
      <c r="D510" s="30">
        <v>99.4</v>
      </c>
      <c r="E510" s="40"/>
      <c r="F510" s="30">
        <f t="shared" si="30"/>
        <v>14849.4</v>
      </c>
      <c r="H510" s="7">
        <v>86.4</v>
      </c>
      <c r="I510" s="7">
        <v>75.55</v>
      </c>
      <c r="J510" s="7"/>
      <c r="K510" s="7"/>
      <c r="L510" s="7">
        <v>114.6</v>
      </c>
      <c r="M510" s="7">
        <v>79.5</v>
      </c>
      <c r="W510" s="63">
        <v>8.2638888888888887E-2</v>
      </c>
      <c r="X510" s="30">
        <v>114.6</v>
      </c>
      <c r="Y510" s="30">
        <v>96.3</v>
      </c>
    </row>
    <row r="511" spans="2:25" x14ac:dyDescent="0.3">
      <c r="B511" s="26">
        <f>B510+50</f>
        <v>14800</v>
      </c>
      <c r="C511" s="30">
        <v>78.150000000000006</v>
      </c>
      <c r="D511" s="23">
        <v>77</v>
      </c>
      <c r="E511" s="40"/>
      <c r="F511" s="50">
        <f t="shared" si="30"/>
        <v>14877</v>
      </c>
      <c r="H511" s="7">
        <v>65.5</v>
      </c>
      <c r="I511" s="7">
        <v>57.1</v>
      </c>
      <c r="J511" s="7"/>
      <c r="K511" s="7"/>
      <c r="L511" s="7">
        <v>88.55</v>
      </c>
      <c r="M511" s="7">
        <v>61.75</v>
      </c>
    </row>
    <row r="512" spans="2:25" x14ac:dyDescent="0.3">
      <c r="B512" s="72">
        <f>B511+50</f>
        <v>14850</v>
      </c>
      <c r="C512" s="61">
        <v>58.3</v>
      </c>
      <c r="D512" s="30">
        <v>57.65</v>
      </c>
      <c r="E512" s="40"/>
      <c r="F512" s="30">
        <f t="shared" si="30"/>
        <v>14907.65</v>
      </c>
      <c r="H512" s="7">
        <v>48.65</v>
      </c>
      <c r="I512" s="7">
        <v>42.1</v>
      </c>
      <c r="J512" s="7"/>
      <c r="K512" s="7"/>
      <c r="L512" s="7">
        <v>67.099999999999994</v>
      </c>
      <c r="M512" s="7">
        <v>46.45</v>
      </c>
      <c r="Q512" s="133" t="s">
        <v>72</v>
      </c>
      <c r="R512" s="134"/>
      <c r="S512" s="135"/>
      <c r="W512" s="34" t="s">
        <v>68</v>
      </c>
      <c r="X512" s="56" t="s">
        <v>69</v>
      </c>
      <c r="Y512" s="57" t="s">
        <v>70</v>
      </c>
    </row>
    <row r="513" spans="2:25" x14ac:dyDescent="0.3">
      <c r="B513" s="26">
        <f>B512+50</f>
        <v>14900</v>
      </c>
      <c r="C513" s="30">
        <v>42.5</v>
      </c>
      <c r="D513" s="30">
        <v>42.55</v>
      </c>
      <c r="E513" s="40"/>
      <c r="F513" s="30">
        <f t="shared" si="30"/>
        <v>14942.55</v>
      </c>
      <c r="H513" s="7">
        <v>35.15</v>
      </c>
      <c r="I513" s="7">
        <v>30.25</v>
      </c>
      <c r="J513" s="7"/>
      <c r="K513" s="7"/>
      <c r="L513" s="7">
        <v>48.75</v>
      </c>
      <c r="M513" s="7">
        <v>34.4</v>
      </c>
      <c r="Q513" s="30"/>
      <c r="R513" s="73">
        <v>75</v>
      </c>
      <c r="S513" s="30">
        <f>R513*Q513</f>
        <v>0</v>
      </c>
      <c r="W513" s="63">
        <v>0.41597222222222219</v>
      </c>
      <c r="X513" s="30">
        <v>58.3</v>
      </c>
      <c r="Y513" s="30">
        <v>73.099999999999994</v>
      </c>
    </row>
    <row r="514" spans="2:25" x14ac:dyDescent="0.3">
      <c r="E514" s="40">
        <f>F514-(G514-F514)</f>
        <v>55.599999999999994</v>
      </c>
      <c r="F514" s="40">
        <f>AVERAGE(C511,C521)</f>
        <v>75.625</v>
      </c>
      <c r="G514" s="40">
        <f>AVERAGE(C510,C520)</f>
        <v>95.65</v>
      </c>
      <c r="H514" s="17"/>
      <c r="I514" s="17"/>
      <c r="J514" s="17"/>
      <c r="K514" s="76"/>
      <c r="L514" s="17"/>
      <c r="M514" s="17"/>
      <c r="Q514" s="30"/>
      <c r="R514" s="73">
        <v>75</v>
      </c>
      <c r="S514" s="30">
        <f>R514*Q514</f>
        <v>0</v>
      </c>
      <c r="W514" s="63">
        <v>0.4368055555555555</v>
      </c>
      <c r="X514" s="30">
        <v>62.1</v>
      </c>
      <c r="Y514" s="30">
        <v>67.239999999999995</v>
      </c>
    </row>
    <row r="515" spans="2:25" x14ac:dyDescent="0.3">
      <c r="C515" s="64">
        <v>43858</v>
      </c>
      <c r="E515" s="40"/>
      <c r="F515" s="40">
        <f>AVERAGE(E516,F516)</f>
        <v>73.46250000000002</v>
      </c>
      <c r="G515" s="40"/>
      <c r="H515" s="66">
        <v>0.11458333333333333</v>
      </c>
      <c r="I515" s="66">
        <v>0.1173611111111111</v>
      </c>
      <c r="J515" s="66"/>
      <c r="K515" s="66"/>
      <c r="L515" s="67">
        <v>8.3333333333333329E-2</v>
      </c>
      <c r="M515" s="67">
        <v>0.13541666666666666</v>
      </c>
      <c r="Q515" s="30"/>
      <c r="R515" s="73"/>
      <c r="S515" s="30">
        <f>R515*Q515</f>
        <v>0</v>
      </c>
      <c r="W515" s="63">
        <v>0.45763888888888887</v>
      </c>
      <c r="X515" s="30">
        <v>66.349999999999994</v>
      </c>
      <c r="Y515" s="30">
        <v>60.95</v>
      </c>
    </row>
    <row r="516" spans="2:25" x14ac:dyDescent="0.3">
      <c r="B516" s="34" t="s">
        <v>68</v>
      </c>
      <c r="C516" s="63">
        <v>0.41666666666666669</v>
      </c>
      <c r="D516" s="63">
        <v>0.39513888888888887</v>
      </c>
      <c r="E516" s="40">
        <f>F516-(G516-F516)</f>
        <v>62.750000000000028</v>
      </c>
      <c r="F516" s="40">
        <f>AVERAGE(C520,C511)</f>
        <v>84.175000000000011</v>
      </c>
      <c r="G516" s="40">
        <f>AVERAGE(C519,C510)</f>
        <v>105.6</v>
      </c>
      <c r="H516" s="23">
        <v>84.1</v>
      </c>
      <c r="I516" s="23">
        <v>105.6</v>
      </c>
      <c r="J516" s="7"/>
      <c r="K516" s="7"/>
      <c r="L516" s="7">
        <v>14745.1</v>
      </c>
      <c r="M516" s="7">
        <v>14598.7</v>
      </c>
      <c r="Q516" s="30">
        <f>S516/R516</f>
        <v>0</v>
      </c>
      <c r="R516" s="73">
        <f>SUM(R513:R515)</f>
        <v>150</v>
      </c>
      <c r="S516" s="30">
        <f>SUM(S513:S515)</f>
        <v>0</v>
      </c>
      <c r="V516" s="40"/>
      <c r="W516" s="63">
        <v>0.47847222222222219</v>
      </c>
      <c r="X516" s="30">
        <v>69.900000000000006</v>
      </c>
      <c r="Y516" s="30">
        <v>60.45</v>
      </c>
    </row>
    <row r="517" spans="2:25" x14ac:dyDescent="0.3">
      <c r="B517" s="26">
        <f>B518+50</f>
        <v>14800</v>
      </c>
      <c r="C517" s="30">
        <v>161.4</v>
      </c>
      <c r="D517" s="30">
        <v>148.15</v>
      </c>
      <c r="E517" s="40"/>
      <c r="F517" s="30">
        <f t="shared" ref="F517:F522" si="31">B517-D517</f>
        <v>14651.85</v>
      </c>
      <c r="H517" s="7">
        <v>181.65</v>
      </c>
      <c r="I517" s="7">
        <v>213.25</v>
      </c>
      <c r="J517" s="7"/>
      <c r="K517" s="7"/>
      <c r="L517" s="7">
        <v>142.44999999999999</v>
      </c>
      <c r="M517" s="7">
        <v>262.05</v>
      </c>
      <c r="P517" s="50">
        <f>S522</f>
        <v>0</v>
      </c>
      <c r="Q517" s="57" t="s">
        <v>72</v>
      </c>
      <c r="S517" s="57" t="s">
        <v>73</v>
      </c>
      <c r="T517" s="23">
        <f>((X513+Y513)-(X522+Y522))</f>
        <v>5.1999999999999886</v>
      </c>
      <c r="U517" s="23"/>
      <c r="V517" s="50">
        <f>T517*225</f>
        <v>1169.9999999999975</v>
      </c>
      <c r="W517" s="63">
        <v>0.4993055555555555</v>
      </c>
      <c r="X517" s="30">
        <v>67.650000000000006</v>
      </c>
      <c r="Y517" s="30">
        <v>63.05</v>
      </c>
    </row>
    <row r="518" spans="2:25" x14ac:dyDescent="0.3">
      <c r="B518" s="26">
        <f>B519+50</f>
        <v>14750</v>
      </c>
      <c r="C518" s="30">
        <v>134</v>
      </c>
      <c r="D518" s="30">
        <v>122.4</v>
      </c>
      <c r="E518" s="40"/>
      <c r="F518" s="30">
        <f t="shared" si="31"/>
        <v>14627.6</v>
      </c>
      <c r="H518" s="7">
        <v>151.6</v>
      </c>
      <c r="I518" s="7">
        <v>181.05</v>
      </c>
      <c r="J518" s="7"/>
      <c r="K518" s="7"/>
      <c r="L518" s="7">
        <v>117.9</v>
      </c>
      <c r="M518" s="7">
        <v>231.9</v>
      </c>
      <c r="Q518" s="30"/>
      <c r="R518" s="73">
        <v>75</v>
      </c>
      <c r="S518" s="30">
        <f>R518*Q518</f>
        <v>0</v>
      </c>
      <c r="W518" s="63">
        <v>0.52013888888888882</v>
      </c>
      <c r="X518" s="30">
        <v>69.5</v>
      </c>
      <c r="Y518" s="30">
        <v>59.65</v>
      </c>
    </row>
    <row r="519" spans="2:25" x14ac:dyDescent="0.3">
      <c r="B519" s="26">
        <v>14700</v>
      </c>
      <c r="C519" s="30">
        <v>110.1</v>
      </c>
      <c r="D519" s="7">
        <v>99.7</v>
      </c>
      <c r="E519" s="40"/>
      <c r="F519" s="30">
        <f t="shared" si="31"/>
        <v>14600.3</v>
      </c>
      <c r="H519" s="7">
        <v>125.95</v>
      </c>
      <c r="I519" s="7">
        <v>152.6</v>
      </c>
      <c r="J519" s="7"/>
      <c r="K519" s="7"/>
      <c r="L519" s="7">
        <v>96.3</v>
      </c>
      <c r="M519" s="7">
        <v>201.05</v>
      </c>
      <c r="Q519" s="30"/>
      <c r="R519" s="73">
        <v>75</v>
      </c>
      <c r="S519" s="30">
        <f>R519*Q519</f>
        <v>0</v>
      </c>
      <c r="T519" s="40"/>
      <c r="U519" s="40"/>
      <c r="V519" s="40"/>
      <c r="W519" s="63">
        <v>0.54097222222222219</v>
      </c>
      <c r="X519" s="30">
        <v>66.55</v>
      </c>
      <c r="Y519" s="30">
        <v>64.400000000000006</v>
      </c>
    </row>
    <row r="520" spans="2:25" x14ac:dyDescent="0.3">
      <c r="B520" s="26">
        <f>B519-50</f>
        <v>14650</v>
      </c>
      <c r="C520" s="30">
        <v>90.2</v>
      </c>
      <c r="D520" s="23">
        <v>81.400000000000006</v>
      </c>
      <c r="E520" s="40"/>
      <c r="F520" s="50">
        <f t="shared" si="31"/>
        <v>14568.6</v>
      </c>
      <c r="H520" s="7">
        <v>103.4</v>
      </c>
      <c r="I520" s="7">
        <v>127.65</v>
      </c>
      <c r="J520" s="7"/>
      <c r="K520" s="7"/>
      <c r="L520" s="7">
        <v>77.75</v>
      </c>
      <c r="M520" s="7">
        <v>173.6</v>
      </c>
      <c r="Q520" s="30"/>
      <c r="R520" s="73"/>
      <c r="S520" s="30">
        <f>R520*Q520</f>
        <v>0</v>
      </c>
      <c r="T520" s="40"/>
      <c r="U520" s="40"/>
      <c r="V520" s="40"/>
      <c r="W520" s="63">
        <v>6.1805555555555558E-2</v>
      </c>
      <c r="X520" s="30">
        <v>71.5</v>
      </c>
      <c r="Y520" s="30">
        <v>59</v>
      </c>
    </row>
    <row r="521" spans="2:25" x14ac:dyDescent="0.3">
      <c r="B521" s="72">
        <f>B520-50</f>
        <v>14600</v>
      </c>
      <c r="C521" s="61">
        <v>73.099999999999994</v>
      </c>
      <c r="D521" s="7">
        <v>66.099999999999994</v>
      </c>
      <c r="E521" s="40"/>
      <c r="F521" s="30">
        <f t="shared" si="31"/>
        <v>14533.9</v>
      </c>
      <c r="H521" s="7">
        <v>85.2</v>
      </c>
      <c r="I521" s="7">
        <v>106.05</v>
      </c>
      <c r="J521" s="7"/>
      <c r="K521" s="7"/>
      <c r="L521" s="7">
        <v>63.95</v>
      </c>
      <c r="M521" s="7">
        <v>149.55000000000001</v>
      </c>
      <c r="Q521" s="30">
        <f>S521/R521</f>
        <v>0</v>
      </c>
      <c r="R521" s="73">
        <f>SUM(R518:R520)</f>
        <v>150</v>
      </c>
      <c r="S521" s="30">
        <f>SUM(S518:S520)</f>
        <v>0</v>
      </c>
      <c r="W521" s="63">
        <v>8.2638888888888887E-2</v>
      </c>
      <c r="X521" s="30">
        <v>67.099999999999994</v>
      </c>
      <c r="Y521" s="30">
        <v>63.95</v>
      </c>
    </row>
    <row r="522" spans="2:25" x14ac:dyDescent="0.3">
      <c r="B522" s="26">
        <f>B521-50</f>
        <v>14550</v>
      </c>
      <c r="C522" s="30">
        <v>60.05</v>
      </c>
      <c r="D522" s="30">
        <v>53.85</v>
      </c>
      <c r="E522" s="40"/>
      <c r="F522" s="30">
        <f t="shared" si="31"/>
        <v>14496.15</v>
      </c>
      <c r="H522" s="7">
        <v>70.2</v>
      </c>
      <c r="I522" s="7">
        <v>88.4</v>
      </c>
      <c r="J522" s="7"/>
      <c r="K522" s="7"/>
      <c r="L522" s="7">
        <v>52.25</v>
      </c>
      <c r="M522" s="7">
        <v>129.35</v>
      </c>
      <c r="Q522" s="136" t="e">
        <f>S522/(R516-R521)</f>
        <v>#DIV/0!</v>
      </c>
      <c r="R522" s="137"/>
      <c r="S522" s="30">
        <f>S521-S516</f>
        <v>0</v>
      </c>
      <c r="W522" s="63">
        <v>0.11458333333333333</v>
      </c>
      <c r="X522" s="30">
        <v>42.1</v>
      </c>
      <c r="Y522" s="23">
        <v>84.1</v>
      </c>
    </row>
    <row r="534" spans="2:25" x14ac:dyDescent="0.3">
      <c r="B534" s="40"/>
      <c r="C534" s="50">
        <f>B535+E535</f>
        <v>14629.65</v>
      </c>
      <c r="D534" s="51">
        <f>C534+E535</f>
        <v>14669.65</v>
      </c>
      <c r="E534" s="21"/>
      <c r="F534" s="21"/>
      <c r="H534" s="52" t="str">
        <f>IF((C543-D543)&gt;(C552-D552),"LONG",IF(C552&gt;D550,"LONG","SHORT"))</f>
        <v>LONG</v>
      </c>
      <c r="I534" s="138" t="s">
        <v>87</v>
      </c>
      <c r="J534" s="139"/>
      <c r="K534" s="140"/>
      <c r="L534" s="53">
        <f>AVERAGE(L535:L536)</f>
        <v>174.57499999999999</v>
      </c>
      <c r="Q534" s="54">
        <v>0.39166666666666666</v>
      </c>
      <c r="R534" s="54">
        <v>0.39861111111111108</v>
      </c>
      <c r="S534" s="54">
        <v>0.4055555555555555</v>
      </c>
      <c r="T534" s="54">
        <v>0.41250000000000003</v>
      </c>
      <c r="U534" s="55"/>
      <c r="W534" s="34" t="s">
        <v>68</v>
      </c>
      <c r="X534" s="56" t="s">
        <v>69</v>
      </c>
      <c r="Y534" s="57" t="s">
        <v>70</v>
      </c>
    </row>
    <row r="535" spans="2:25" x14ac:dyDescent="0.3">
      <c r="B535" s="50">
        <v>14589.65</v>
      </c>
      <c r="C535" s="40"/>
      <c r="D535" s="58"/>
      <c r="E535" s="59">
        <f>ROUND((((B535*F535%)/4)/10),0)*10</f>
        <v>40</v>
      </c>
      <c r="F535" s="51">
        <v>1.1200000000000001</v>
      </c>
      <c r="H535" s="60" t="s">
        <v>69</v>
      </c>
      <c r="I535" s="61">
        <f>AVERAGE(C552,C541)</f>
        <v>151.92500000000001</v>
      </c>
      <c r="J535" s="61">
        <f>AVERAGE(C552,C542)</f>
        <v>136.35</v>
      </c>
      <c r="K535" s="61">
        <f>AVERAGE(C552,C543)</f>
        <v>121.35</v>
      </c>
      <c r="L535" s="61">
        <f>C541</f>
        <v>188.15</v>
      </c>
      <c r="Q535" s="51">
        <v>14594</v>
      </c>
      <c r="R535" s="51">
        <v>14544.4</v>
      </c>
      <c r="S535" s="51">
        <v>14583.25</v>
      </c>
      <c r="T535" s="51">
        <v>14601.5</v>
      </c>
      <c r="U535" s="62"/>
      <c r="W535" s="63">
        <v>0.41597222222222219</v>
      </c>
      <c r="X535" s="30">
        <v>127</v>
      </c>
      <c r="Y535" s="30">
        <v>115.7</v>
      </c>
    </row>
    <row r="536" spans="2:25" x14ac:dyDescent="0.3">
      <c r="B536" s="40"/>
      <c r="C536" s="50">
        <f>B535-E535</f>
        <v>14549.65</v>
      </c>
      <c r="D536" s="51">
        <f>C536-E535</f>
        <v>14509.65</v>
      </c>
      <c r="E536" s="21"/>
      <c r="F536" s="21"/>
      <c r="H536" s="60" t="s">
        <v>70</v>
      </c>
      <c r="I536" s="61">
        <f>AVERAGE(C543,C550)</f>
        <v>144</v>
      </c>
      <c r="J536" s="61">
        <f>AVERAGE(C543,C551)</f>
        <v>131.80000000000001</v>
      </c>
      <c r="K536" s="61">
        <f>AVERAGE(C543,C552)</f>
        <v>121.35</v>
      </c>
      <c r="L536" s="61">
        <f>C550</f>
        <v>161</v>
      </c>
      <c r="W536" s="63">
        <v>0.4368055555555555</v>
      </c>
      <c r="X536" s="30">
        <v>120</v>
      </c>
      <c r="Y536" s="30">
        <v>127.85</v>
      </c>
    </row>
    <row r="537" spans="2:25" x14ac:dyDescent="0.3">
      <c r="F537" s="40"/>
      <c r="G537" s="40"/>
      <c r="K537" s="40"/>
      <c r="W537" s="63">
        <v>0.45763888888888887</v>
      </c>
      <c r="X537" s="30">
        <v>108.45</v>
      </c>
      <c r="Y537" s="30">
        <v>137.80000000000001</v>
      </c>
    </row>
    <row r="538" spans="2:25" x14ac:dyDescent="0.3">
      <c r="B538" s="40"/>
      <c r="W538" s="63">
        <v>0.47847222222222219</v>
      </c>
      <c r="X538" s="30">
        <v>97.85</v>
      </c>
      <c r="Y538" s="30">
        <v>173.95</v>
      </c>
    </row>
    <row r="539" spans="2:25" x14ac:dyDescent="0.3">
      <c r="C539" s="64">
        <v>44218</v>
      </c>
      <c r="F539" s="30">
        <f>AVERAGE(F541,F550)</f>
        <v>14582.2</v>
      </c>
      <c r="G539" s="65"/>
      <c r="H539" s="66">
        <v>0.43472222222222223</v>
      </c>
      <c r="I539" s="66">
        <v>0.43541666666666662</v>
      </c>
      <c r="J539" s="66">
        <v>0.46458333333333335</v>
      </c>
      <c r="K539" s="66"/>
      <c r="L539" s="67">
        <v>8.3333333333333329E-2</v>
      </c>
      <c r="M539" s="67">
        <v>0.13541666666666666</v>
      </c>
      <c r="Q539" s="132" t="s">
        <v>71</v>
      </c>
      <c r="R539" s="132"/>
      <c r="S539" s="132" t="s">
        <v>37</v>
      </c>
      <c r="T539" s="132"/>
      <c r="U539" s="69"/>
      <c r="W539" s="63">
        <v>0.4993055555555555</v>
      </c>
      <c r="X539" s="30">
        <v>104.75</v>
      </c>
      <c r="Y539" s="30">
        <v>147.94999999999999</v>
      </c>
    </row>
    <row r="540" spans="2:25" x14ac:dyDescent="0.3">
      <c r="B540" s="34" t="s">
        <v>68</v>
      </c>
      <c r="C540" s="63">
        <v>0.41666666666666669</v>
      </c>
      <c r="D540" s="63">
        <v>0.39652777777777781</v>
      </c>
      <c r="H540" s="7">
        <v>14564.05</v>
      </c>
      <c r="I540" s="7">
        <v>14569.65</v>
      </c>
      <c r="J540" s="7">
        <v>14504</v>
      </c>
      <c r="K540" s="7"/>
      <c r="L540" s="7">
        <v>14375</v>
      </c>
      <c r="M540" s="7">
        <v>14366.5</v>
      </c>
      <c r="Q540" s="61">
        <f>R540-(S540-R540)</f>
        <v>13809.900000000001</v>
      </c>
      <c r="R540" s="61">
        <v>14283.45</v>
      </c>
      <c r="S540" s="61">
        <v>14757</v>
      </c>
      <c r="T540" s="61">
        <f>S540+(S540-R540)</f>
        <v>15230.55</v>
      </c>
      <c r="U540" s="71"/>
      <c r="W540" s="63">
        <v>0.52013888888888882</v>
      </c>
      <c r="X540" s="30">
        <v>92.5</v>
      </c>
      <c r="Y540" s="30">
        <v>171.9</v>
      </c>
    </row>
    <row r="541" spans="2:25" x14ac:dyDescent="0.3">
      <c r="B541" s="26">
        <f>B542-50</f>
        <v>14500</v>
      </c>
      <c r="C541" s="30">
        <v>188.15</v>
      </c>
      <c r="D541" s="30">
        <v>165.05</v>
      </c>
      <c r="E541" s="40"/>
      <c r="F541" s="30">
        <f t="shared" ref="F541:F546" si="32">B541+D541</f>
        <v>14665.05</v>
      </c>
      <c r="H541" s="7">
        <v>177.3</v>
      </c>
      <c r="I541" s="7">
        <v>178.45</v>
      </c>
      <c r="J541" s="7">
        <v>145</v>
      </c>
      <c r="K541" s="7"/>
      <c r="L541" s="7">
        <v>101</v>
      </c>
      <c r="M541" s="7">
        <v>80.900000000000006</v>
      </c>
      <c r="S541" s="40"/>
      <c r="W541" s="63">
        <v>0.54097222222222219</v>
      </c>
      <c r="X541" s="30">
        <v>74.599999999999994</v>
      </c>
      <c r="Y541" s="30">
        <v>208.75</v>
      </c>
    </row>
    <row r="542" spans="2:25" x14ac:dyDescent="0.3">
      <c r="B542" s="26">
        <f>B543-50</f>
        <v>14550</v>
      </c>
      <c r="C542" s="30">
        <v>157</v>
      </c>
      <c r="D542" s="30">
        <v>135.5</v>
      </c>
      <c r="E542" s="40"/>
      <c r="F542" s="30">
        <f t="shared" si="32"/>
        <v>14685.5</v>
      </c>
      <c r="H542" s="7">
        <v>147</v>
      </c>
      <c r="I542" s="7">
        <v>147.69999999999999</v>
      </c>
      <c r="J542" s="7">
        <v>119.3</v>
      </c>
      <c r="K542" s="7"/>
      <c r="L542" s="7">
        <v>82.15</v>
      </c>
      <c r="M542" s="7">
        <v>64.900000000000006</v>
      </c>
      <c r="W542" s="63">
        <v>6.1805555555555558E-2</v>
      </c>
      <c r="X542" s="30">
        <v>78.75</v>
      </c>
      <c r="Y542" s="30">
        <v>207.95</v>
      </c>
    </row>
    <row r="543" spans="2:25" x14ac:dyDescent="0.3">
      <c r="B543" s="26">
        <v>14600</v>
      </c>
      <c r="C543" s="30">
        <v>127</v>
      </c>
      <c r="D543" s="7">
        <v>109.95</v>
      </c>
      <c r="E543" s="40"/>
      <c r="F543" s="30">
        <f t="shared" si="32"/>
        <v>14709.95</v>
      </c>
      <c r="H543" s="7">
        <v>119.45</v>
      </c>
      <c r="I543" s="7">
        <v>119.65</v>
      </c>
      <c r="J543" s="7">
        <v>96</v>
      </c>
      <c r="K543" s="7"/>
      <c r="L543" s="7">
        <v>65.650000000000006</v>
      </c>
      <c r="M543" s="7">
        <v>50.35</v>
      </c>
      <c r="W543" s="63">
        <v>8.2638888888888887E-2</v>
      </c>
      <c r="X543" s="30">
        <v>65.650000000000006</v>
      </c>
      <c r="Y543" s="30">
        <v>254.8</v>
      </c>
    </row>
    <row r="544" spans="2:25" x14ac:dyDescent="0.3">
      <c r="B544" s="26">
        <f>B543+50</f>
        <v>14650</v>
      </c>
      <c r="C544" s="30">
        <v>101.4</v>
      </c>
      <c r="D544" s="30">
        <v>87.1</v>
      </c>
      <c r="E544" s="40"/>
      <c r="F544" s="50">
        <f t="shared" si="32"/>
        <v>14737.1</v>
      </c>
      <c r="H544" s="7">
        <v>95.6</v>
      </c>
      <c r="I544" s="7">
        <v>95.3</v>
      </c>
      <c r="J544" s="7">
        <v>75.900000000000006</v>
      </c>
      <c r="K544" s="7"/>
      <c r="L544" s="7">
        <v>51.95</v>
      </c>
      <c r="M544" s="7">
        <v>39</v>
      </c>
    </row>
    <row r="545" spans="2:25" x14ac:dyDescent="0.3">
      <c r="B545" s="72">
        <f>B544+50</f>
        <v>14700</v>
      </c>
      <c r="C545" s="61">
        <v>78.7</v>
      </c>
      <c r="D545" s="30">
        <v>67.349999999999994</v>
      </c>
      <c r="E545" s="40"/>
      <c r="F545" s="30">
        <f t="shared" si="32"/>
        <v>14767.35</v>
      </c>
      <c r="H545" s="7">
        <v>74.45</v>
      </c>
      <c r="I545" s="7">
        <v>74.5</v>
      </c>
      <c r="J545" s="7">
        <v>58.7</v>
      </c>
      <c r="K545" s="7"/>
      <c r="L545" s="7">
        <v>40.9</v>
      </c>
      <c r="M545" s="7">
        <v>30.05</v>
      </c>
      <c r="Q545" s="133" t="s">
        <v>72</v>
      </c>
      <c r="R545" s="134"/>
      <c r="S545" s="135"/>
      <c r="W545" s="34" t="s">
        <v>68</v>
      </c>
      <c r="X545" s="56" t="s">
        <v>69</v>
      </c>
      <c r="Y545" s="57" t="s">
        <v>70</v>
      </c>
    </row>
    <row r="546" spans="2:25" x14ac:dyDescent="0.3">
      <c r="B546" s="26">
        <f>B545+50</f>
        <v>14750</v>
      </c>
      <c r="C546" s="30">
        <v>59.4</v>
      </c>
      <c r="D546" s="30">
        <v>50.6</v>
      </c>
      <c r="E546" s="40"/>
      <c r="F546" s="30">
        <f t="shared" si="32"/>
        <v>14800.6</v>
      </c>
      <c r="H546" s="7">
        <v>56.55</v>
      </c>
      <c r="I546" s="7">
        <v>56.45</v>
      </c>
      <c r="J546" s="7">
        <v>44.35</v>
      </c>
      <c r="K546" s="7"/>
      <c r="L546" s="7">
        <v>32</v>
      </c>
      <c r="M546" s="7">
        <v>23.35</v>
      </c>
      <c r="Q546" s="30">
        <v>94</v>
      </c>
      <c r="R546" s="73">
        <v>150</v>
      </c>
      <c r="S546" s="30">
        <f>R546*Q546</f>
        <v>14100</v>
      </c>
      <c r="W546" s="63">
        <v>0.41597222222222219</v>
      </c>
      <c r="X546" s="30">
        <v>78.7</v>
      </c>
      <c r="Y546" s="30">
        <v>81.849999999999994</v>
      </c>
    </row>
    <row r="547" spans="2:25" x14ac:dyDescent="0.3">
      <c r="E547" s="40">
        <f>F547-(G547-F547)</f>
        <v>70.974999999999994</v>
      </c>
      <c r="F547" s="40">
        <f>AVERAGE(C544,C554)</f>
        <v>91.625</v>
      </c>
      <c r="G547" s="40">
        <f>AVERAGE(C543,C553)</f>
        <v>112.27500000000001</v>
      </c>
      <c r="H547" s="17"/>
      <c r="I547" s="17"/>
      <c r="J547" s="17"/>
      <c r="K547" s="76"/>
      <c r="L547" s="17"/>
      <c r="M547" s="17"/>
      <c r="Q547" s="30">
        <v>88.5</v>
      </c>
      <c r="R547" s="73">
        <v>150</v>
      </c>
      <c r="S547" s="30">
        <f>R547*Q547</f>
        <v>13275</v>
      </c>
      <c r="W547" s="63">
        <v>0.4368055555555555</v>
      </c>
      <c r="X547" s="30">
        <v>74.45</v>
      </c>
      <c r="Y547" s="30">
        <v>91.25</v>
      </c>
    </row>
    <row r="548" spans="2:25" x14ac:dyDescent="0.3">
      <c r="C548" s="64">
        <v>43858</v>
      </c>
      <c r="E548" s="40"/>
      <c r="F548" s="40">
        <f>AVERAGE(E549,F549)</f>
        <v>88.537499999999994</v>
      </c>
      <c r="G548" s="40"/>
      <c r="H548" s="66">
        <v>0.43472222222222223</v>
      </c>
      <c r="I548" s="66">
        <v>0.43541666666666662</v>
      </c>
      <c r="J548" s="66">
        <v>0.46458333333333335</v>
      </c>
      <c r="K548" s="66"/>
      <c r="L548" s="66">
        <v>8.3333333333333329E-2</v>
      </c>
      <c r="M548" s="66">
        <v>0.13541666666666666</v>
      </c>
      <c r="Q548" s="30"/>
      <c r="R548" s="73"/>
      <c r="S548" s="30">
        <f>R548*Q548</f>
        <v>0</v>
      </c>
      <c r="W548" s="63">
        <v>0.45763888888888887</v>
      </c>
      <c r="X548" s="30">
        <v>65.5</v>
      </c>
      <c r="Y548" s="30">
        <v>99.4</v>
      </c>
    </row>
    <row r="549" spans="2:25" x14ac:dyDescent="0.3">
      <c r="B549" s="34" t="s">
        <v>68</v>
      </c>
      <c r="C549" s="63">
        <v>0.41666666666666669</v>
      </c>
      <c r="D549" s="63">
        <v>0.41180555555555554</v>
      </c>
      <c r="E549" s="40">
        <f>F549-(G549-F549)</f>
        <v>77.599999999999994</v>
      </c>
      <c r="F549" s="40">
        <f>AVERAGE(C553,C544)</f>
        <v>99.474999999999994</v>
      </c>
      <c r="G549" s="40">
        <f>AVERAGE(C552,C543)</f>
        <v>121.35</v>
      </c>
      <c r="H549" s="23">
        <v>99.4</v>
      </c>
      <c r="I549" s="23">
        <v>94</v>
      </c>
      <c r="J549" s="23">
        <v>121.35</v>
      </c>
      <c r="K549" s="7"/>
      <c r="L549" s="7">
        <v>14375</v>
      </c>
      <c r="M549" s="7">
        <v>14366.5</v>
      </c>
      <c r="Q549" s="30">
        <f>S549/R549</f>
        <v>91.25</v>
      </c>
      <c r="R549" s="73">
        <f>SUM(R546:R548)</f>
        <v>300</v>
      </c>
      <c r="S549" s="30">
        <f>SUM(S546:S548)</f>
        <v>27375</v>
      </c>
      <c r="V549" s="40"/>
      <c r="W549" s="63">
        <v>0.47847222222222219</v>
      </c>
      <c r="X549" s="30">
        <v>60.15</v>
      </c>
      <c r="Y549" s="30">
        <v>129.4</v>
      </c>
    </row>
    <row r="550" spans="2:25" x14ac:dyDescent="0.3">
      <c r="B550" s="26">
        <f>B551+50</f>
        <v>14650</v>
      </c>
      <c r="C550" s="30">
        <v>161</v>
      </c>
      <c r="D550" s="30">
        <v>150.65</v>
      </c>
      <c r="E550" s="40"/>
      <c r="F550" s="30">
        <f t="shared" ref="F550:F555" si="33">B550-D550</f>
        <v>14499.35</v>
      </c>
      <c r="H550" s="7">
        <v>181</v>
      </c>
      <c r="I550" s="7">
        <v>176.3</v>
      </c>
      <c r="J550" s="7">
        <v>221.2</v>
      </c>
      <c r="K550" s="7"/>
      <c r="L550" s="7">
        <v>325.3</v>
      </c>
      <c r="M550" s="7">
        <v>322.14999999999998</v>
      </c>
      <c r="P550" s="50">
        <f>S555</f>
        <v>7777.5</v>
      </c>
      <c r="Q550" s="57" t="s">
        <v>72</v>
      </c>
      <c r="S550" s="57" t="s">
        <v>73</v>
      </c>
      <c r="T550" s="23">
        <f>((X546+Y546)-(X555+Y555))</f>
        <v>2.4499999999999886</v>
      </c>
      <c r="U550" s="23"/>
      <c r="V550" s="50">
        <f>T550*225</f>
        <v>551.2499999999975</v>
      </c>
      <c r="W550" s="63">
        <v>0.4993055555555555</v>
      </c>
      <c r="X550" s="30">
        <v>63.85</v>
      </c>
      <c r="Y550" s="30">
        <v>108</v>
      </c>
    </row>
    <row r="551" spans="2:25" x14ac:dyDescent="0.3">
      <c r="B551" s="26">
        <f>B552+50</f>
        <v>14600</v>
      </c>
      <c r="C551" s="30">
        <v>136.6</v>
      </c>
      <c r="D551" s="30">
        <v>128.15</v>
      </c>
      <c r="E551" s="40"/>
      <c r="F551" s="30">
        <f t="shared" si="33"/>
        <v>14471.85</v>
      </c>
      <c r="H551" s="7">
        <v>155.5</v>
      </c>
      <c r="I551" s="7">
        <v>149.6</v>
      </c>
      <c r="J551" s="7">
        <v>192.25</v>
      </c>
      <c r="K551" s="7"/>
      <c r="L551" s="7">
        <v>289.5</v>
      </c>
      <c r="M551" s="7">
        <v>284.10000000000002</v>
      </c>
      <c r="Q551" s="30">
        <v>121.35</v>
      </c>
      <c r="R551" s="73">
        <v>150</v>
      </c>
      <c r="S551" s="30">
        <f>R551*Q551</f>
        <v>18202.5</v>
      </c>
      <c r="W551" s="63">
        <v>0.52013888888888882</v>
      </c>
      <c r="X551" s="30">
        <v>56.4</v>
      </c>
      <c r="Y551" s="30">
        <v>126.55</v>
      </c>
    </row>
    <row r="552" spans="2:25" x14ac:dyDescent="0.3">
      <c r="B552" s="26">
        <v>14550</v>
      </c>
      <c r="C552" s="30">
        <v>115.7</v>
      </c>
      <c r="D552" s="7">
        <v>108.4</v>
      </c>
      <c r="E552" s="40"/>
      <c r="F552" s="30">
        <f t="shared" si="33"/>
        <v>14441.6</v>
      </c>
      <c r="H552" s="7">
        <v>132.85</v>
      </c>
      <c r="I552" s="7">
        <v>127.45</v>
      </c>
      <c r="J552" s="7">
        <v>163.95</v>
      </c>
      <c r="K552" s="7"/>
      <c r="L552" s="7">
        <v>254.8</v>
      </c>
      <c r="M552" s="7">
        <v>246.3</v>
      </c>
      <c r="Q552" s="30">
        <v>113</v>
      </c>
      <c r="R552" s="73">
        <v>150</v>
      </c>
      <c r="S552" s="30">
        <f>R552*Q552</f>
        <v>16950</v>
      </c>
      <c r="T552" s="40"/>
      <c r="U552" s="40"/>
      <c r="V552" s="40"/>
      <c r="W552" s="63">
        <v>0.54097222222222219</v>
      </c>
      <c r="X552" s="30">
        <v>45.3</v>
      </c>
      <c r="Y552" s="30">
        <v>154.75</v>
      </c>
    </row>
    <row r="553" spans="2:25" x14ac:dyDescent="0.3">
      <c r="B553" s="26">
        <f>B552-50</f>
        <v>14500</v>
      </c>
      <c r="C553" s="30">
        <v>97.55</v>
      </c>
      <c r="D553" s="7">
        <v>91</v>
      </c>
      <c r="E553" s="40"/>
      <c r="F553" s="50">
        <f t="shared" si="33"/>
        <v>14409</v>
      </c>
      <c r="H553" s="7">
        <v>113</v>
      </c>
      <c r="I553" s="7">
        <v>107.35</v>
      </c>
      <c r="J553" s="7">
        <v>140.6</v>
      </c>
      <c r="K553" s="7"/>
      <c r="L553" s="7">
        <v>224.15</v>
      </c>
      <c r="M553" s="7">
        <v>212.9</v>
      </c>
      <c r="Q553" s="30"/>
      <c r="R553" s="73"/>
      <c r="S553" s="30">
        <f>R553*Q553</f>
        <v>0</v>
      </c>
      <c r="T553" s="40"/>
      <c r="U553" s="40"/>
      <c r="V553" s="40"/>
      <c r="W553" s="63">
        <v>6.1805555555555558E-2</v>
      </c>
      <c r="X553" s="30">
        <v>48.3</v>
      </c>
      <c r="Y553" s="30">
        <v>155.1</v>
      </c>
    </row>
    <row r="554" spans="2:25" x14ac:dyDescent="0.3">
      <c r="B554" s="72">
        <f>B553-50</f>
        <v>14450</v>
      </c>
      <c r="C554" s="61">
        <v>81.849999999999994</v>
      </c>
      <c r="D554" s="23">
        <v>76.650000000000006</v>
      </c>
      <c r="E554" s="40"/>
      <c r="F554" s="30">
        <f t="shared" si="33"/>
        <v>14373.35</v>
      </c>
      <c r="H554" s="7">
        <v>96</v>
      </c>
      <c r="I554" s="7">
        <v>91</v>
      </c>
      <c r="J554" s="7">
        <v>120.15</v>
      </c>
      <c r="K554" s="7"/>
      <c r="L554" s="7">
        <v>196</v>
      </c>
      <c r="M554" s="7">
        <v>184.5</v>
      </c>
      <c r="Q554" s="30">
        <f>S554/R554</f>
        <v>117.175</v>
      </c>
      <c r="R554" s="73">
        <f>SUM(R551:R553)</f>
        <v>300</v>
      </c>
      <c r="S554" s="30">
        <f>SUM(S551:S553)</f>
        <v>35152.5</v>
      </c>
      <c r="W554" s="63">
        <v>8.2638888888888887E-2</v>
      </c>
      <c r="X554" s="30">
        <v>40.9</v>
      </c>
      <c r="Y554" s="30">
        <v>196</v>
      </c>
    </row>
    <row r="555" spans="2:25" x14ac:dyDescent="0.3">
      <c r="B555" s="26">
        <f>B554-50</f>
        <v>14400</v>
      </c>
      <c r="C555" s="30">
        <v>68.45</v>
      </c>
      <c r="D555" s="7">
        <v>63.85</v>
      </c>
      <c r="E555" s="40"/>
      <c r="F555" s="30">
        <f t="shared" si="33"/>
        <v>14336.15</v>
      </c>
      <c r="H555" s="7">
        <v>81.75</v>
      </c>
      <c r="I555" s="7">
        <v>77</v>
      </c>
      <c r="J555" s="7">
        <v>101.85</v>
      </c>
      <c r="K555" s="7"/>
      <c r="L555" s="7">
        <v>170</v>
      </c>
      <c r="M555" s="7">
        <v>157.44999999999999</v>
      </c>
      <c r="Q555" s="136" t="e">
        <f>S555/(R549-R554)</f>
        <v>#DIV/0!</v>
      </c>
      <c r="R555" s="137"/>
      <c r="S555" s="30">
        <f>S554-S549</f>
        <v>7777.5</v>
      </c>
      <c r="W555" s="63">
        <v>0.43472222222222223</v>
      </c>
      <c r="X555" s="30">
        <v>58.7</v>
      </c>
      <c r="Y555" s="23">
        <v>99.4</v>
      </c>
    </row>
    <row r="567" spans="2:25" x14ac:dyDescent="0.3">
      <c r="B567" s="40"/>
      <c r="C567" s="50">
        <f>B568+E568</f>
        <v>14375.9</v>
      </c>
      <c r="D567" s="51">
        <f>C567+E568</f>
        <v>14415.9</v>
      </c>
      <c r="E567" s="21"/>
      <c r="F567" s="21"/>
      <c r="H567" s="52" t="str">
        <f>IF((C576-D576)&gt;(C585-D585),"LONG",IF(C585&gt;D583,"LONG","SHORT"))</f>
        <v>LONG</v>
      </c>
      <c r="I567" s="138" t="s">
        <v>88</v>
      </c>
      <c r="J567" s="139"/>
      <c r="K567" s="140"/>
      <c r="L567" s="53">
        <f>AVERAGE(L568:L569)</f>
        <v>168</v>
      </c>
      <c r="Q567" s="54">
        <v>0.39166666666666666</v>
      </c>
      <c r="R567" s="54">
        <v>0.39861111111111108</v>
      </c>
      <c r="S567" s="54">
        <v>0.4055555555555555</v>
      </c>
      <c r="T567" s="54">
        <v>0.41250000000000003</v>
      </c>
      <c r="U567" s="55"/>
      <c r="W567" s="34" t="s">
        <v>68</v>
      </c>
      <c r="X567" s="56" t="s">
        <v>69</v>
      </c>
      <c r="Y567" s="57" t="s">
        <v>70</v>
      </c>
    </row>
    <row r="568" spans="2:25" x14ac:dyDescent="0.3">
      <c r="B568" s="50">
        <v>14335.9</v>
      </c>
      <c r="C568" s="40"/>
      <c r="D568" s="58"/>
      <c r="E568" s="59">
        <f>ROUND((((B568*F568%)/4)/10),0)*10</f>
        <v>40</v>
      </c>
      <c r="F568" s="51">
        <v>1.1599999999999999</v>
      </c>
      <c r="H568" s="60" t="s">
        <v>69</v>
      </c>
      <c r="I568" s="61">
        <f>AVERAGE(C585,C574)</f>
        <v>143.6</v>
      </c>
      <c r="J568" s="61">
        <f>AVERAGE(C585,C575)</f>
        <v>127.925</v>
      </c>
      <c r="K568" s="61">
        <f>AVERAGE(C585,C576)</f>
        <v>113.95</v>
      </c>
      <c r="L568" s="61">
        <f>C574</f>
        <v>177.2</v>
      </c>
      <c r="Q568" s="51">
        <v>14456.9</v>
      </c>
      <c r="R568" s="51">
        <v>14439.5</v>
      </c>
      <c r="S568" s="51">
        <v>14326.25</v>
      </c>
      <c r="T568" s="51">
        <v>14345</v>
      </c>
      <c r="U568" s="62"/>
      <c r="W568" s="63">
        <v>0.41597222222222219</v>
      </c>
      <c r="X568" s="30">
        <v>117.9</v>
      </c>
      <c r="Y568" s="30">
        <v>110</v>
      </c>
    </row>
    <row r="569" spans="2:25" x14ac:dyDescent="0.3">
      <c r="B569" s="40"/>
      <c r="C569" s="50">
        <f>B568-E568</f>
        <v>14295.9</v>
      </c>
      <c r="D569" s="51">
        <f>C569-E568</f>
        <v>14255.9</v>
      </c>
      <c r="E569" s="21"/>
      <c r="F569" s="21"/>
      <c r="H569" s="60" t="s">
        <v>70</v>
      </c>
      <c r="I569" s="61">
        <f>AVERAGE(C576,C583)</f>
        <v>138.35000000000002</v>
      </c>
      <c r="J569" s="61">
        <f>AVERAGE(C576,C584)</f>
        <v>124.95</v>
      </c>
      <c r="K569" s="61">
        <f>AVERAGE(C576,C585)</f>
        <v>113.95</v>
      </c>
      <c r="L569" s="61">
        <f>C583</f>
        <v>158.80000000000001</v>
      </c>
      <c r="W569" s="63">
        <v>0.4368055555555555</v>
      </c>
      <c r="X569" s="30">
        <v>146</v>
      </c>
      <c r="Y569" s="30">
        <v>77.05</v>
      </c>
    </row>
    <row r="570" spans="2:25" x14ac:dyDescent="0.3">
      <c r="F570" s="40"/>
      <c r="G570" s="40"/>
      <c r="K570" s="40"/>
      <c r="W570" s="63">
        <v>0.45763888888888887</v>
      </c>
      <c r="X570" s="30">
        <v>140.4</v>
      </c>
      <c r="Y570" s="30">
        <v>80.05</v>
      </c>
    </row>
    <row r="571" spans="2:25" x14ac:dyDescent="0.3">
      <c r="B571" s="40"/>
      <c r="W571" s="63">
        <v>0.47847222222222219</v>
      </c>
      <c r="X571" s="30">
        <v>133.55000000000001</v>
      </c>
      <c r="Y571" s="30">
        <v>89.9</v>
      </c>
    </row>
    <row r="572" spans="2:25" x14ac:dyDescent="0.3">
      <c r="C572" s="64">
        <v>44221</v>
      </c>
      <c r="F572" s="30">
        <f>AVERAGE(F574,F583)</f>
        <v>14355.475</v>
      </c>
      <c r="G572" s="65"/>
      <c r="H572" s="66">
        <v>0.42152777777777778</v>
      </c>
      <c r="I572" s="66">
        <v>0.42222222222222222</v>
      </c>
      <c r="J572" s="66">
        <v>0.48958333333333331</v>
      </c>
      <c r="K572" s="66"/>
      <c r="L572" s="67">
        <v>8.3333333333333329E-2</v>
      </c>
      <c r="M572" s="67">
        <v>0.13541666666666666</v>
      </c>
      <c r="Q572" s="132" t="s">
        <v>71</v>
      </c>
      <c r="R572" s="132"/>
      <c r="S572" s="132" t="s">
        <v>37</v>
      </c>
      <c r="T572" s="132"/>
      <c r="U572" s="69"/>
      <c r="W572" s="63">
        <v>0.4993055555555555</v>
      </c>
      <c r="X572" s="30">
        <v>118.6</v>
      </c>
      <c r="Y572" s="30">
        <v>107.3</v>
      </c>
    </row>
    <row r="573" spans="2:25" x14ac:dyDescent="0.3">
      <c r="B573" s="34" t="s">
        <v>68</v>
      </c>
      <c r="C573" s="63">
        <v>0.41666666666666669</v>
      </c>
      <c r="D573" s="63">
        <v>0.40833333333333338</v>
      </c>
      <c r="H573" s="23">
        <v>92.3</v>
      </c>
      <c r="I573" s="23">
        <v>86.9</v>
      </c>
      <c r="J573" s="23">
        <v>70.8</v>
      </c>
      <c r="K573" s="7"/>
      <c r="L573" s="7">
        <v>14361.6</v>
      </c>
      <c r="M573" s="7">
        <v>14249.4</v>
      </c>
      <c r="Q573" s="61">
        <f>R573-(S573-R573)</f>
        <v>14046.900000000001</v>
      </c>
      <c r="R573" s="61">
        <v>14401.95</v>
      </c>
      <c r="S573" s="61">
        <v>14757</v>
      </c>
      <c r="T573" s="61">
        <f>S573+(S573-R573)</f>
        <v>15112.05</v>
      </c>
      <c r="U573" s="71"/>
      <c r="W573" s="63">
        <v>0.52013888888888882</v>
      </c>
      <c r="X573" s="30">
        <v>121.75</v>
      </c>
      <c r="Y573" s="30">
        <v>94.8</v>
      </c>
    </row>
    <row r="574" spans="2:25" x14ac:dyDescent="0.3">
      <c r="B574" s="26">
        <f>B575-50</f>
        <v>14250</v>
      </c>
      <c r="C574" s="30">
        <v>177.2</v>
      </c>
      <c r="D574" s="30">
        <v>150.19999999999999</v>
      </c>
      <c r="E574" s="40"/>
      <c r="F574" s="30">
        <f t="shared" ref="F574:F579" si="34">B574+D574</f>
        <v>14400.2</v>
      </c>
      <c r="H574" s="7">
        <v>205.8</v>
      </c>
      <c r="I574" s="7">
        <v>197.75</v>
      </c>
      <c r="J574" s="7">
        <v>181.2</v>
      </c>
      <c r="K574" s="7"/>
      <c r="L574" s="7">
        <v>179</v>
      </c>
      <c r="M574" s="7">
        <v>100.2</v>
      </c>
      <c r="S574" s="40"/>
      <c r="W574" s="63">
        <v>0.54097222222222219</v>
      </c>
      <c r="X574" s="30">
        <v>136.5</v>
      </c>
      <c r="Y574" s="30">
        <v>79.599999999999994</v>
      </c>
    </row>
    <row r="575" spans="2:25" x14ac:dyDescent="0.3">
      <c r="B575" s="26">
        <f>B576-50</f>
        <v>14300</v>
      </c>
      <c r="C575" s="30">
        <v>145.85</v>
      </c>
      <c r="D575" s="30">
        <v>121.85</v>
      </c>
      <c r="E575" s="40"/>
      <c r="F575" s="30">
        <f t="shared" si="34"/>
        <v>14421.85</v>
      </c>
      <c r="H575" s="7">
        <v>171.2</v>
      </c>
      <c r="I575" s="7">
        <v>163.1</v>
      </c>
      <c r="J575" s="7">
        <v>148.9</v>
      </c>
      <c r="K575" s="7"/>
      <c r="L575" s="7">
        <v>145.44999999999999</v>
      </c>
      <c r="M575" s="7">
        <v>75.25</v>
      </c>
      <c r="Q575" s="40"/>
      <c r="R575" s="40"/>
      <c r="S575" s="40"/>
      <c r="T575" s="40"/>
      <c r="U575" s="40"/>
      <c r="V575" s="40"/>
      <c r="W575" s="63">
        <v>6.1805555555555558E-2</v>
      </c>
      <c r="X575" s="30">
        <v>142.80000000000001</v>
      </c>
      <c r="Y575" s="30">
        <v>68.650000000000006</v>
      </c>
    </row>
    <row r="576" spans="2:25" x14ac:dyDescent="0.3">
      <c r="B576" s="26">
        <v>14350</v>
      </c>
      <c r="C576" s="30">
        <v>117.9</v>
      </c>
      <c r="D576" s="30">
        <v>97.1</v>
      </c>
      <c r="E576" s="40"/>
      <c r="F576" s="30">
        <f t="shared" si="34"/>
        <v>14447.1</v>
      </c>
      <c r="H576" s="7">
        <v>139.25</v>
      </c>
      <c r="I576" s="7">
        <v>133.1</v>
      </c>
      <c r="J576" s="7">
        <v>119.5</v>
      </c>
      <c r="K576" s="7"/>
      <c r="L576" s="7">
        <v>114.75</v>
      </c>
      <c r="M576" s="7">
        <v>54.6</v>
      </c>
      <c r="V576" s="78"/>
      <c r="W576" s="63">
        <v>8.2638888888888887E-2</v>
      </c>
      <c r="X576" s="30">
        <v>114.75</v>
      </c>
      <c r="Y576" s="30">
        <v>83.6</v>
      </c>
    </row>
    <row r="577" spans="2:25" x14ac:dyDescent="0.3">
      <c r="B577" s="26">
        <f>B576+50</f>
        <v>14400</v>
      </c>
      <c r="C577" s="30">
        <v>93.9</v>
      </c>
      <c r="D577" s="23">
        <v>76.599999999999994</v>
      </c>
      <c r="E577" s="40"/>
      <c r="F577" s="50">
        <f t="shared" si="34"/>
        <v>14476.6</v>
      </c>
      <c r="H577" s="7">
        <v>112.95</v>
      </c>
      <c r="I577" s="7">
        <v>106.7</v>
      </c>
      <c r="J577" s="7">
        <v>93.3</v>
      </c>
      <c r="K577" s="7"/>
      <c r="L577" s="7">
        <v>87.5</v>
      </c>
      <c r="M577" s="7">
        <v>37.9</v>
      </c>
    </row>
    <row r="578" spans="2:25" x14ac:dyDescent="0.3">
      <c r="B578" s="72">
        <f>B577+50</f>
        <v>14450</v>
      </c>
      <c r="C578" s="51">
        <v>73.7</v>
      </c>
      <c r="D578" s="30">
        <v>59.55</v>
      </c>
      <c r="E578" s="40"/>
      <c r="F578" s="30">
        <f t="shared" si="34"/>
        <v>14509.55</v>
      </c>
      <c r="H578" s="7">
        <v>88.95</v>
      </c>
      <c r="I578" s="7">
        <v>84.35</v>
      </c>
      <c r="J578" s="7">
        <v>71.650000000000006</v>
      </c>
      <c r="K578" s="7"/>
      <c r="L578" s="7">
        <v>65.400000000000006</v>
      </c>
      <c r="M578" s="7">
        <v>26.45</v>
      </c>
      <c r="Q578" s="133" t="s">
        <v>72</v>
      </c>
      <c r="R578" s="134"/>
      <c r="S578" s="135"/>
      <c r="W578" s="34" t="s">
        <v>68</v>
      </c>
      <c r="X578" s="56" t="s">
        <v>69</v>
      </c>
      <c r="Y578" s="57" t="s">
        <v>70</v>
      </c>
    </row>
    <row r="579" spans="2:25" x14ac:dyDescent="0.3">
      <c r="B579" s="26">
        <f>B578+50</f>
        <v>14500</v>
      </c>
      <c r="C579" s="30">
        <v>56.2</v>
      </c>
      <c r="D579" s="30">
        <v>45.15</v>
      </c>
      <c r="E579" s="40"/>
      <c r="F579" s="30">
        <f t="shared" si="34"/>
        <v>14545.15</v>
      </c>
      <c r="H579" s="7">
        <v>68.5</v>
      </c>
      <c r="I579" s="7">
        <v>64.55</v>
      </c>
      <c r="J579" s="7">
        <v>52.85</v>
      </c>
      <c r="K579" s="7"/>
      <c r="L579" s="7">
        <v>46.9</v>
      </c>
      <c r="M579" s="7">
        <v>18.600000000000001</v>
      </c>
      <c r="Q579" s="30">
        <v>86.9</v>
      </c>
      <c r="R579" s="73">
        <v>150</v>
      </c>
      <c r="S579" s="30">
        <f>R579*Q579</f>
        <v>13035</v>
      </c>
      <c r="W579" s="63">
        <v>0.41597222222222219</v>
      </c>
      <c r="X579" s="30">
        <v>73.7</v>
      </c>
      <c r="Y579" s="30">
        <v>90.85</v>
      </c>
    </row>
    <row r="580" spans="2:25" x14ac:dyDescent="0.3">
      <c r="E580" s="40">
        <f>F580-(G580-F580)</f>
        <v>70.8</v>
      </c>
      <c r="F580" s="40">
        <f>AVERAGE(C577,C586)</f>
        <v>92.375</v>
      </c>
      <c r="G580" s="40">
        <f>AVERAGE(C576,C585)</f>
        <v>113.95</v>
      </c>
      <c r="H580" s="17"/>
      <c r="I580" s="17"/>
      <c r="J580" s="17"/>
      <c r="K580" s="76"/>
      <c r="L580" s="17"/>
      <c r="M580" s="17"/>
      <c r="Q580" s="30">
        <v>81.5</v>
      </c>
      <c r="R580" s="73">
        <v>150</v>
      </c>
      <c r="S580" s="30">
        <f>R580*Q580</f>
        <v>12225</v>
      </c>
      <c r="W580" s="63">
        <v>0.4368055555555555</v>
      </c>
      <c r="X580" s="30">
        <v>91.3</v>
      </c>
      <c r="Y580" s="30">
        <v>63</v>
      </c>
    </row>
    <row r="581" spans="2:25" x14ac:dyDescent="0.3">
      <c r="C581" s="64">
        <v>43858</v>
      </c>
      <c r="E581" s="40"/>
      <c r="F581" s="40">
        <f>AVERAGE(F580,E580)</f>
        <v>81.587500000000006</v>
      </c>
      <c r="G581" s="40"/>
      <c r="H581" s="66">
        <v>0.42152777777777778</v>
      </c>
      <c r="I581" s="66">
        <v>0.42222222222222222</v>
      </c>
      <c r="J581" s="66">
        <v>0.48958333333333331</v>
      </c>
      <c r="K581" s="66"/>
      <c r="L581" s="67">
        <v>8.3333333333333329E-2</v>
      </c>
      <c r="M581" s="67">
        <v>0.13541666666666666</v>
      </c>
      <c r="Q581" s="30"/>
      <c r="R581" s="73"/>
      <c r="S581" s="30">
        <f>R581*Q581</f>
        <v>0</v>
      </c>
      <c r="W581" s="63">
        <v>0.45763888888888887</v>
      </c>
      <c r="X581" s="30">
        <v>86.35</v>
      </c>
      <c r="Y581" s="30">
        <v>65.5</v>
      </c>
    </row>
    <row r="582" spans="2:25" x14ac:dyDescent="0.3">
      <c r="B582" s="34" t="s">
        <v>68</v>
      </c>
      <c r="C582" s="63">
        <v>0.41666666666666669</v>
      </c>
      <c r="D582" s="63">
        <v>0.38680555555555557</v>
      </c>
      <c r="E582" s="40">
        <f>F582-(G582-F582)</f>
        <v>78.95</v>
      </c>
      <c r="F582" s="40">
        <f>AVERAGE(C585,C577)</f>
        <v>101.95</v>
      </c>
      <c r="G582" s="40">
        <f>AVERAGE(C584,C576)</f>
        <v>124.95</v>
      </c>
      <c r="H582" s="7">
        <v>14390</v>
      </c>
      <c r="I582" s="7">
        <v>14376.15</v>
      </c>
      <c r="J582" s="7">
        <v>14345</v>
      </c>
      <c r="K582" s="7"/>
      <c r="L582" s="7">
        <v>14361.6</v>
      </c>
      <c r="M582" s="7">
        <v>14249.4</v>
      </c>
      <c r="Q582" s="30">
        <f>S582/R582</f>
        <v>84.2</v>
      </c>
      <c r="R582" s="73">
        <f>SUM(R579:R581)</f>
        <v>300</v>
      </c>
      <c r="S582" s="30">
        <f>SUM(S579:S581)</f>
        <v>25260</v>
      </c>
      <c r="V582" s="40"/>
      <c r="W582" s="63">
        <v>0.47847222222222219</v>
      </c>
      <c r="X582" s="30">
        <v>82</v>
      </c>
      <c r="Y582" s="30">
        <v>73.7</v>
      </c>
    </row>
    <row r="583" spans="2:25" x14ac:dyDescent="0.3">
      <c r="B583" s="26">
        <f>B584+50</f>
        <v>14400</v>
      </c>
      <c r="C583" s="30">
        <v>158.80000000000001</v>
      </c>
      <c r="D583" s="30">
        <v>89.25</v>
      </c>
      <c r="E583" s="40"/>
      <c r="F583" s="30">
        <f t="shared" ref="F583:F588" si="35">B583-D583</f>
        <v>14310.75</v>
      </c>
      <c r="H583" s="7">
        <v>122.35</v>
      </c>
      <c r="I583" s="7">
        <v>129.4</v>
      </c>
      <c r="J583" s="7">
        <v>147.65</v>
      </c>
      <c r="K583" s="7"/>
      <c r="L583" s="7">
        <v>126.35</v>
      </c>
      <c r="M583" s="7">
        <v>189.25</v>
      </c>
      <c r="P583" s="50">
        <f>S588</f>
        <v>-4020</v>
      </c>
      <c r="Q583" s="57" t="s">
        <v>72</v>
      </c>
      <c r="S583" s="57" t="s">
        <v>73</v>
      </c>
      <c r="T583" s="23">
        <f>((X579+Y579)-(X588+Y588))</f>
        <v>20.650000000000006</v>
      </c>
      <c r="U583" s="23"/>
      <c r="V583" s="50">
        <f>T583*225</f>
        <v>4646.2500000000009</v>
      </c>
      <c r="W583" s="63">
        <v>0.4993055555555555</v>
      </c>
      <c r="X583" s="30">
        <v>71.150000000000006</v>
      </c>
      <c r="Y583" s="30">
        <v>90.05</v>
      </c>
    </row>
    <row r="584" spans="2:25" x14ac:dyDescent="0.3">
      <c r="B584" s="26">
        <f>B585+50</f>
        <v>14350</v>
      </c>
      <c r="C584" s="30">
        <v>132</v>
      </c>
      <c r="D584" s="30">
        <v>71.95</v>
      </c>
      <c r="E584" s="40"/>
      <c r="F584" s="30">
        <f t="shared" si="35"/>
        <v>14278.05</v>
      </c>
      <c r="H584" s="7">
        <v>99.8</v>
      </c>
      <c r="I584" s="7">
        <v>106</v>
      </c>
      <c r="J584" s="7">
        <v>123.45</v>
      </c>
      <c r="K584" s="7"/>
      <c r="L584" s="7">
        <v>103.35</v>
      </c>
      <c r="M584" s="7">
        <v>155.15</v>
      </c>
      <c r="Q584" s="30">
        <v>70.8</v>
      </c>
      <c r="R584" s="73">
        <v>150</v>
      </c>
      <c r="S584" s="30">
        <f>R584*Q584</f>
        <v>10620</v>
      </c>
      <c r="W584" s="63">
        <v>0.52013888888888882</v>
      </c>
      <c r="X584" s="30">
        <v>73.900000000000006</v>
      </c>
      <c r="Y584" s="30">
        <v>78.45</v>
      </c>
    </row>
    <row r="585" spans="2:25" x14ac:dyDescent="0.3">
      <c r="B585" s="26">
        <v>14300</v>
      </c>
      <c r="C585" s="30">
        <v>110</v>
      </c>
      <c r="D585" s="7">
        <v>57.8</v>
      </c>
      <c r="E585" s="40"/>
      <c r="F585" s="30">
        <f t="shared" si="35"/>
        <v>14242.2</v>
      </c>
      <c r="H585" s="7">
        <v>80.45</v>
      </c>
      <c r="I585" s="7">
        <v>86</v>
      </c>
      <c r="J585" s="7">
        <v>102.3</v>
      </c>
      <c r="K585" s="7"/>
      <c r="L585" s="7">
        <v>83.6</v>
      </c>
      <c r="M585" s="7">
        <v>126.7</v>
      </c>
      <c r="Q585" s="30">
        <v>70.8</v>
      </c>
      <c r="R585" s="73">
        <v>150</v>
      </c>
      <c r="S585" s="30">
        <f>R585*Q585</f>
        <v>10620</v>
      </c>
      <c r="T585" s="40"/>
      <c r="U585" s="40"/>
      <c r="V585" s="40"/>
      <c r="W585" s="63">
        <v>0.54097222222222219</v>
      </c>
      <c r="X585" s="30">
        <v>82.25</v>
      </c>
      <c r="Y585" s="30">
        <v>65.05</v>
      </c>
    </row>
    <row r="586" spans="2:25" x14ac:dyDescent="0.3">
      <c r="B586" s="26">
        <f>B585-50</f>
        <v>14250</v>
      </c>
      <c r="C586" s="51">
        <v>90.85</v>
      </c>
      <c r="D586" s="23">
        <v>46.15</v>
      </c>
      <c r="E586" s="40"/>
      <c r="F586" s="50">
        <f t="shared" si="35"/>
        <v>14203.85</v>
      </c>
      <c r="H586" s="7">
        <v>64.55</v>
      </c>
      <c r="I586" s="7">
        <v>69.95</v>
      </c>
      <c r="J586" s="7">
        <v>85.05</v>
      </c>
      <c r="K586" s="7"/>
      <c r="L586" s="7">
        <v>67.75</v>
      </c>
      <c r="M586" s="7">
        <v>101.45</v>
      </c>
      <c r="Q586" s="30"/>
      <c r="R586" s="73"/>
      <c r="S586" s="30">
        <f>R586*Q586</f>
        <v>0</v>
      </c>
      <c r="T586" s="40"/>
      <c r="U586" s="40"/>
      <c r="V586" s="40"/>
      <c r="W586" s="63">
        <v>6.1805555555555558E-2</v>
      </c>
      <c r="X586" s="30">
        <v>84.25</v>
      </c>
      <c r="Y586" s="30">
        <v>55.35</v>
      </c>
    </row>
    <row r="587" spans="2:25" x14ac:dyDescent="0.3">
      <c r="B587" s="72">
        <f>B586-50</f>
        <v>14200</v>
      </c>
      <c r="C587" s="30">
        <v>74.8</v>
      </c>
      <c r="D587" s="7">
        <v>36.700000000000003</v>
      </c>
      <c r="E587" s="40"/>
      <c r="F587" s="30">
        <f t="shared" si="35"/>
        <v>14163.3</v>
      </c>
      <c r="H587" s="7">
        <v>51.6</v>
      </c>
      <c r="I587" s="7">
        <v>55.95</v>
      </c>
      <c r="J587" s="7">
        <v>70.45</v>
      </c>
      <c r="K587" s="7"/>
      <c r="L587" s="7">
        <v>54.45</v>
      </c>
      <c r="M587" s="7">
        <v>80.3</v>
      </c>
      <c r="Q587" s="30">
        <f>S587/R587</f>
        <v>70.8</v>
      </c>
      <c r="R587" s="73">
        <f>SUM(R584:R586)</f>
        <v>300</v>
      </c>
      <c r="S587" s="30">
        <f>SUM(S584:S586)</f>
        <v>21240</v>
      </c>
      <c r="W587" s="63">
        <v>8.2638888888888887E-2</v>
      </c>
      <c r="X587" s="30">
        <v>65.400000000000006</v>
      </c>
      <c r="Y587" s="30">
        <v>67.75</v>
      </c>
    </row>
    <row r="588" spans="2:25" x14ac:dyDescent="0.3">
      <c r="B588" s="26">
        <f>B587-50</f>
        <v>14150</v>
      </c>
      <c r="C588" s="30">
        <v>61</v>
      </c>
      <c r="D588" s="7">
        <v>28.9</v>
      </c>
      <c r="E588" s="40"/>
      <c r="F588" s="30">
        <f t="shared" si="35"/>
        <v>14121.1</v>
      </c>
      <c r="H588" s="7">
        <v>41</v>
      </c>
      <c r="I588" s="7">
        <v>44.7</v>
      </c>
      <c r="J588" s="7">
        <v>59.1</v>
      </c>
      <c r="K588" s="7"/>
      <c r="L588" s="7">
        <v>43.75</v>
      </c>
      <c r="M588" s="7">
        <v>62.85</v>
      </c>
      <c r="Q588" s="136" t="e">
        <f>S588/(R582-R587)</f>
        <v>#DIV/0!</v>
      </c>
      <c r="R588" s="137"/>
      <c r="S588" s="30">
        <f>S587-S582</f>
        <v>-4020</v>
      </c>
      <c r="W588" s="63">
        <v>0.42152777777777778</v>
      </c>
      <c r="X588" s="23">
        <v>92.3</v>
      </c>
      <c r="Y588" s="30">
        <v>51.6</v>
      </c>
    </row>
    <row r="600" spans="2:25" x14ac:dyDescent="0.3">
      <c r="B600" s="40"/>
      <c r="C600" s="50">
        <f>B601+E601</f>
        <v>14171.5</v>
      </c>
      <c r="D600" s="51">
        <f>C600+E601</f>
        <v>14211.5</v>
      </c>
      <c r="E600" s="21"/>
      <c r="F600" s="21"/>
      <c r="H600" s="52" t="str">
        <f>IF((C609-D609)&gt;(C618-D618),"LONG",IF(C618&gt;D616,"LONG","SHORT"))</f>
        <v>SHORT</v>
      </c>
      <c r="I600" s="138" t="s">
        <v>89</v>
      </c>
      <c r="J600" s="139"/>
      <c r="K600" s="140"/>
      <c r="L600" s="53">
        <f>AVERAGE(L601:L602)</f>
        <v>131.85</v>
      </c>
      <c r="Q600" s="54">
        <v>0.39166666666666666</v>
      </c>
      <c r="R600" s="54">
        <v>0.39861111111111108</v>
      </c>
      <c r="S600" s="54">
        <v>0.4055555555555555</v>
      </c>
      <c r="T600" s="54">
        <v>0.41250000000000003</v>
      </c>
      <c r="U600" s="55"/>
      <c r="W600" s="34" t="s">
        <v>68</v>
      </c>
      <c r="X600" s="56" t="s">
        <v>69</v>
      </c>
      <c r="Y600" s="57" t="s">
        <v>70</v>
      </c>
    </row>
    <row r="601" spans="2:25" x14ac:dyDescent="0.3">
      <c r="B601" s="50">
        <v>14131.5</v>
      </c>
      <c r="C601" s="40"/>
      <c r="D601" s="58"/>
      <c r="E601" s="59">
        <f>ROUND((((B601*F601%)/4)/10),0)*10</f>
        <v>40</v>
      </c>
      <c r="F601" s="51">
        <v>1.22</v>
      </c>
      <c r="H601" s="60" t="s">
        <v>69</v>
      </c>
      <c r="I601" s="61">
        <f>AVERAGE(C618,C607)</f>
        <v>107.35</v>
      </c>
      <c r="J601" s="61">
        <f>AVERAGE(C618,C608)</f>
        <v>91.174999999999997</v>
      </c>
      <c r="K601" s="61">
        <f>AVERAGE(C618,C609)</f>
        <v>77.099999999999994</v>
      </c>
      <c r="L601" s="61">
        <f>C607</f>
        <v>138.85</v>
      </c>
      <c r="Q601" s="51">
        <v>14167.75</v>
      </c>
      <c r="R601" s="51">
        <v>14169.6</v>
      </c>
      <c r="S601" s="51">
        <v>14154.35</v>
      </c>
      <c r="T601" s="51">
        <v>14128.15</v>
      </c>
      <c r="U601" s="62"/>
      <c r="W601" s="63">
        <v>0.41597222222222219</v>
      </c>
      <c r="X601" s="30">
        <v>78.349999999999994</v>
      </c>
      <c r="Y601" s="30">
        <v>75.849999999999994</v>
      </c>
    </row>
    <row r="602" spans="2:25" x14ac:dyDescent="0.3">
      <c r="B602" s="40"/>
      <c r="C602" s="50">
        <f>B601-E601</f>
        <v>14091.5</v>
      </c>
      <c r="D602" s="51">
        <f>C602-E601</f>
        <v>14051.5</v>
      </c>
      <c r="E602" s="21"/>
      <c r="F602" s="21"/>
      <c r="H602" s="60" t="s">
        <v>70</v>
      </c>
      <c r="I602" s="61">
        <f>AVERAGE(C609,C616)</f>
        <v>101.6</v>
      </c>
      <c r="J602" s="61">
        <f>AVERAGE(C609,C617)</f>
        <v>88.025000000000006</v>
      </c>
      <c r="K602" s="61">
        <f>AVERAGE(C609,C618)</f>
        <v>77.099999999999994</v>
      </c>
      <c r="L602" s="61">
        <f>C616</f>
        <v>124.85</v>
      </c>
      <c r="W602" s="63">
        <v>0.4368055555555555</v>
      </c>
      <c r="X602" s="30">
        <v>71.650000000000006</v>
      </c>
      <c r="Y602" s="30">
        <v>74.95</v>
      </c>
    </row>
    <row r="603" spans="2:25" x14ac:dyDescent="0.3">
      <c r="F603" s="40"/>
      <c r="G603" s="40"/>
      <c r="K603" s="40"/>
      <c r="W603" s="63">
        <v>0.45763888888888887</v>
      </c>
      <c r="X603" s="30">
        <v>76.25</v>
      </c>
      <c r="Y603" s="30">
        <v>65.25</v>
      </c>
    </row>
    <row r="604" spans="2:25" x14ac:dyDescent="0.3">
      <c r="B604" s="40"/>
      <c r="W604" s="63">
        <v>0.47847222222222219</v>
      </c>
      <c r="X604" s="30">
        <v>81.599999999999994</v>
      </c>
      <c r="Y604" s="30">
        <v>52.35</v>
      </c>
    </row>
    <row r="605" spans="2:25" x14ac:dyDescent="0.3">
      <c r="C605" s="64">
        <v>44223</v>
      </c>
      <c r="F605" s="30">
        <f>AVERAGE(F607,F616)</f>
        <v>14145.05</v>
      </c>
      <c r="G605" s="65"/>
      <c r="H605" s="66">
        <v>6.25E-2</v>
      </c>
      <c r="I605" s="66">
        <v>8.4722222222222213E-2</v>
      </c>
      <c r="J605" s="66"/>
      <c r="K605" s="66"/>
      <c r="L605" s="66">
        <v>8.3333333333333329E-2</v>
      </c>
      <c r="M605" s="66">
        <v>0.13541666666666666</v>
      </c>
      <c r="Q605" s="132" t="s">
        <v>71</v>
      </c>
      <c r="R605" s="132"/>
      <c r="S605" s="132" t="s">
        <v>37</v>
      </c>
      <c r="T605" s="132"/>
      <c r="U605" s="69"/>
      <c r="W605" s="63">
        <v>0.4993055555555555</v>
      </c>
      <c r="X605" s="30">
        <v>51.85</v>
      </c>
      <c r="Y605" s="30">
        <v>78.05</v>
      </c>
    </row>
    <row r="606" spans="2:25" x14ac:dyDescent="0.3">
      <c r="B606" s="34" t="s">
        <v>68</v>
      </c>
      <c r="C606" s="63">
        <v>0.41666666666666669</v>
      </c>
      <c r="D606" s="63">
        <v>0.41041666666666665</v>
      </c>
      <c r="H606" s="7">
        <v>14060.75</v>
      </c>
      <c r="I606" s="7">
        <v>14020.5</v>
      </c>
      <c r="J606" s="7"/>
      <c r="K606" s="7"/>
      <c r="L606" s="7">
        <v>14037</v>
      </c>
      <c r="M606" s="7">
        <v>13981.65</v>
      </c>
      <c r="Q606" s="61">
        <f>R606-(S606-R606)</f>
        <v>13754.8</v>
      </c>
      <c r="R606" s="61">
        <v>14255.9</v>
      </c>
      <c r="S606" s="61">
        <v>14757</v>
      </c>
      <c r="T606" s="61">
        <f>S606+(S606-R606)</f>
        <v>15258.1</v>
      </c>
      <c r="U606" s="71"/>
      <c r="W606" s="63">
        <v>0.52013888888888882</v>
      </c>
      <c r="X606" s="30">
        <v>51.2</v>
      </c>
      <c r="Y606" s="30">
        <v>73.599999999999994</v>
      </c>
    </row>
    <row r="607" spans="2:25" x14ac:dyDescent="0.3">
      <c r="B607" s="26">
        <f>B608-50</f>
        <v>14050</v>
      </c>
      <c r="C607" s="30">
        <v>138.85</v>
      </c>
      <c r="D607" s="30">
        <v>135.80000000000001</v>
      </c>
      <c r="E607" s="40"/>
      <c r="F607" s="30">
        <f t="shared" ref="F607:F612" si="36">B607+D607</f>
        <v>14185.8</v>
      </c>
      <c r="H607" s="7">
        <v>78</v>
      </c>
      <c r="I607" s="7">
        <v>62.4</v>
      </c>
      <c r="J607" s="7"/>
      <c r="K607" s="7"/>
      <c r="L607" s="7">
        <v>68.599999999999994</v>
      </c>
      <c r="M607" s="7">
        <v>34.1</v>
      </c>
      <c r="S607" s="40"/>
      <c r="W607" s="63">
        <v>0.54097222222222219</v>
      </c>
      <c r="X607" s="30">
        <v>48.4</v>
      </c>
      <c r="Y607" s="30">
        <v>73.150000000000006</v>
      </c>
    </row>
    <row r="608" spans="2:25" x14ac:dyDescent="0.3">
      <c r="B608" s="26">
        <f>B609-50</f>
        <v>14100</v>
      </c>
      <c r="C608" s="30">
        <v>106.5</v>
      </c>
      <c r="D608" s="30">
        <v>104.15</v>
      </c>
      <c r="E608" s="40"/>
      <c r="F608" s="30">
        <f t="shared" si="36"/>
        <v>14204.15</v>
      </c>
      <c r="H608" s="7">
        <v>53.75</v>
      </c>
      <c r="I608" s="7">
        <v>42.2</v>
      </c>
      <c r="J608" s="7"/>
      <c r="K608" s="7"/>
      <c r="L608" s="7">
        <v>46.9</v>
      </c>
      <c r="M608" s="7">
        <v>21</v>
      </c>
      <c r="W608" s="63">
        <v>6.1805555555555558E-2</v>
      </c>
      <c r="X608" s="30">
        <v>40.200000000000003</v>
      </c>
      <c r="Y608" s="30">
        <v>80.95</v>
      </c>
    </row>
    <row r="609" spans="2:25" x14ac:dyDescent="0.3">
      <c r="B609" s="26">
        <v>14150</v>
      </c>
      <c r="C609" s="30">
        <v>78.349999999999994</v>
      </c>
      <c r="D609" s="30">
        <v>77</v>
      </c>
      <c r="E609" s="40"/>
      <c r="F609" s="30">
        <f t="shared" si="36"/>
        <v>14227</v>
      </c>
      <c r="H609" s="7">
        <v>34.950000000000003</v>
      </c>
      <c r="I609" s="7">
        <v>26.75</v>
      </c>
      <c r="J609" s="7"/>
      <c r="K609" s="7"/>
      <c r="L609" s="7">
        <v>30.1</v>
      </c>
      <c r="M609" s="7">
        <v>12.6</v>
      </c>
      <c r="W609" s="63">
        <v>8.2638888888888887E-2</v>
      </c>
      <c r="X609" s="30">
        <v>30.1</v>
      </c>
      <c r="Y609" s="30">
        <v>110.55</v>
      </c>
    </row>
    <row r="610" spans="2:25" x14ac:dyDescent="0.3">
      <c r="B610" s="26">
        <f>B609+50</f>
        <v>14200</v>
      </c>
      <c r="C610" s="30">
        <v>55.8</v>
      </c>
      <c r="D610" s="23">
        <v>54.35</v>
      </c>
      <c r="E610" s="40"/>
      <c r="F610" s="50">
        <f t="shared" si="36"/>
        <v>14254.35</v>
      </c>
      <c r="H610" s="7">
        <v>22.15</v>
      </c>
      <c r="I610" s="7">
        <v>16.75</v>
      </c>
      <c r="J610" s="7"/>
      <c r="K610" s="7"/>
      <c r="L610" s="7">
        <v>18.95</v>
      </c>
      <c r="M610" s="7">
        <v>8.65</v>
      </c>
    </row>
    <row r="611" spans="2:25" x14ac:dyDescent="0.3">
      <c r="B611" s="72">
        <f>B610+50</f>
        <v>14250</v>
      </c>
      <c r="C611" s="51">
        <v>37.5</v>
      </c>
      <c r="D611" s="7">
        <v>36.75</v>
      </c>
      <c r="E611" s="40"/>
      <c r="F611" s="30">
        <f t="shared" si="36"/>
        <v>14286.75</v>
      </c>
      <c r="H611" s="7">
        <v>14.25</v>
      </c>
      <c r="I611" s="7">
        <v>10.4</v>
      </c>
      <c r="J611" s="7"/>
      <c r="K611" s="7"/>
      <c r="L611" s="7">
        <v>11.65</v>
      </c>
      <c r="M611" s="7">
        <v>6.35</v>
      </c>
      <c r="Q611" s="133" t="s">
        <v>72</v>
      </c>
      <c r="R611" s="134"/>
      <c r="S611" s="135"/>
      <c r="W611" s="34" t="s">
        <v>68</v>
      </c>
      <c r="X611" s="56" t="s">
        <v>69</v>
      </c>
      <c r="Y611" s="57" t="s">
        <v>70</v>
      </c>
    </row>
    <row r="612" spans="2:25" x14ac:dyDescent="0.3">
      <c r="B612" s="26">
        <f>B611+50</f>
        <v>14300</v>
      </c>
      <c r="C612" s="30">
        <v>24.15</v>
      </c>
      <c r="D612" s="30">
        <v>23.6</v>
      </c>
      <c r="E612" s="40"/>
      <c r="F612" s="30">
        <f t="shared" si="36"/>
        <v>14323.6</v>
      </c>
      <c r="H612" s="7">
        <v>10.050000000000001</v>
      </c>
      <c r="I612" s="7">
        <v>7.3</v>
      </c>
      <c r="J612" s="7"/>
      <c r="K612" s="7"/>
      <c r="L612" s="7">
        <v>8.0500000000000007</v>
      </c>
      <c r="M612" s="7">
        <v>5.0999999999999996</v>
      </c>
      <c r="Q612" s="30">
        <v>65.8</v>
      </c>
      <c r="R612" s="73">
        <v>75</v>
      </c>
      <c r="S612" s="30">
        <f>R612*Q612</f>
        <v>4935</v>
      </c>
      <c r="W612" s="63">
        <v>0.41597222222222219</v>
      </c>
      <c r="X612" s="30">
        <v>37.5</v>
      </c>
      <c r="Y612" s="30">
        <v>57.85</v>
      </c>
    </row>
    <row r="613" spans="2:25" x14ac:dyDescent="0.3">
      <c r="E613" s="40">
        <f>F613-(G613-F613)</f>
        <v>36.550000000000011</v>
      </c>
      <c r="F613" s="40">
        <f>AVERAGE(C610,C619)</f>
        <v>56.825000000000003</v>
      </c>
      <c r="G613" s="40">
        <f>AVERAGE(C609,C618)</f>
        <v>77.099999999999994</v>
      </c>
      <c r="H613" s="17"/>
      <c r="I613" s="17"/>
      <c r="J613" s="17"/>
      <c r="K613" s="76"/>
      <c r="L613" s="17"/>
      <c r="M613" s="17"/>
      <c r="Q613" s="30"/>
      <c r="R613" s="73"/>
      <c r="S613" s="30">
        <f>R613*Q613</f>
        <v>0</v>
      </c>
      <c r="W613" s="63">
        <v>0.4368055555555555</v>
      </c>
      <c r="X613" s="30">
        <v>32.9</v>
      </c>
      <c r="Y613" s="30">
        <v>56.25</v>
      </c>
    </row>
    <row r="614" spans="2:25" x14ac:dyDescent="0.3">
      <c r="C614" s="64">
        <v>43858</v>
      </c>
      <c r="E614" s="40"/>
      <c r="F614" s="40">
        <f>AVERAGE(E615,F615)</f>
        <v>54.72499999999998</v>
      </c>
      <c r="G614" s="40"/>
      <c r="H614" s="66">
        <v>6.25E-2</v>
      </c>
      <c r="I614" s="66">
        <v>8.4722222222222213E-2</v>
      </c>
      <c r="J614" s="66"/>
      <c r="K614" s="66"/>
      <c r="L614" s="67">
        <v>8.3333333333333329E-2</v>
      </c>
      <c r="M614" s="67">
        <v>0.13541666666666666</v>
      </c>
      <c r="Q614" s="30"/>
      <c r="R614" s="73"/>
      <c r="S614" s="30">
        <f>R614*Q614</f>
        <v>0</v>
      </c>
      <c r="W614" s="63">
        <v>0.45763888888888887</v>
      </c>
      <c r="X614" s="30">
        <v>35.450000000000003</v>
      </c>
      <c r="Y614" s="30">
        <v>48</v>
      </c>
    </row>
    <row r="615" spans="2:25" x14ac:dyDescent="0.3">
      <c r="B615" s="34" t="s">
        <v>68</v>
      </c>
      <c r="C615" s="63">
        <v>0.41666666666666669</v>
      </c>
      <c r="D615" s="63">
        <v>0.39513888888888887</v>
      </c>
      <c r="E615" s="40">
        <f>F615-(G615-F615)</f>
        <v>43.624999999999972</v>
      </c>
      <c r="F615" s="40">
        <f>AVERAGE(C618,C610)</f>
        <v>65.824999999999989</v>
      </c>
      <c r="G615" s="40">
        <f>AVERAGE(C617,C609)</f>
        <v>88.025000000000006</v>
      </c>
      <c r="H615" s="23">
        <v>65.8</v>
      </c>
      <c r="I615" s="23">
        <v>88</v>
      </c>
      <c r="J615" s="7"/>
      <c r="K615" s="7"/>
      <c r="L615" s="7">
        <v>14037</v>
      </c>
      <c r="M615" s="7">
        <v>13981.65</v>
      </c>
      <c r="Q615" s="30">
        <f>S615/R615</f>
        <v>65.8</v>
      </c>
      <c r="R615" s="73">
        <f>SUM(R612:R614)</f>
        <v>75</v>
      </c>
      <c r="S615" s="30">
        <f>SUM(S612:S614)</f>
        <v>4935</v>
      </c>
      <c r="V615" s="40"/>
      <c r="W615" s="63">
        <v>0.47847222222222219</v>
      </c>
      <c r="X615" s="30">
        <v>36.950000000000003</v>
      </c>
      <c r="Y615" s="30">
        <v>37.25</v>
      </c>
    </row>
    <row r="616" spans="2:25" x14ac:dyDescent="0.3">
      <c r="B616" s="26">
        <f>B617+50</f>
        <v>14200</v>
      </c>
      <c r="C616" s="30">
        <v>124.85</v>
      </c>
      <c r="D616" s="30">
        <v>95.7</v>
      </c>
      <c r="E616" s="40"/>
      <c r="F616" s="30">
        <f t="shared" ref="F616:F621" si="37">B616-D616</f>
        <v>14104.3</v>
      </c>
      <c r="H616" s="7">
        <v>161.35</v>
      </c>
      <c r="I616" s="7">
        <v>195.8</v>
      </c>
      <c r="J616" s="7"/>
      <c r="K616" s="7"/>
      <c r="L616" s="7">
        <v>182.4</v>
      </c>
      <c r="M616" s="7">
        <v>229.05</v>
      </c>
      <c r="P616" s="50">
        <f>S621</f>
        <v>1665</v>
      </c>
      <c r="Q616" s="57" t="s">
        <v>72</v>
      </c>
      <c r="S616" s="57" t="s">
        <v>73</v>
      </c>
      <c r="T616" s="23">
        <f>((X612+Y612)-(X621+Y621))</f>
        <v>19.149999999999991</v>
      </c>
      <c r="U616" s="23"/>
      <c r="V616" s="50">
        <f>T616*225</f>
        <v>4308.7499999999982</v>
      </c>
      <c r="W616" s="63">
        <v>0.4993055555555555</v>
      </c>
      <c r="X616" s="30">
        <v>21.45</v>
      </c>
      <c r="Y616" s="30">
        <v>57.1</v>
      </c>
    </row>
    <row r="617" spans="2:25" x14ac:dyDescent="0.3">
      <c r="B617" s="26">
        <f>B618+50</f>
        <v>14150</v>
      </c>
      <c r="C617" s="30">
        <v>97.7</v>
      </c>
      <c r="D617" s="7">
        <v>74.400000000000006</v>
      </c>
      <c r="E617" s="40"/>
      <c r="F617" s="30">
        <f t="shared" si="37"/>
        <v>14075.6</v>
      </c>
      <c r="H617" s="7">
        <v>124.65</v>
      </c>
      <c r="I617" s="7">
        <v>155.94999999999999</v>
      </c>
      <c r="J617" s="7"/>
      <c r="K617" s="7"/>
      <c r="L617" s="7">
        <v>143.5</v>
      </c>
      <c r="M617" s="7">
        <v>182.25</v>
      </c>
      <c r="Q617" s="30">
        <v>88</v>
      </c>
      <c r="R617" s="73">
        <v>75</v>
      </c>
      <c r="S617" s="30">
        <f>R617*Q617</f>
        <v>6600</v>
      </c>
      <c r="W617" s="63">
        <v>0.52013888888888882</v>
      </c>
      <c r="X617" s="30">
        <v>21.6</v>
      </c>
      <c r="Y617" s="30">
        <v>52.8</v>
      </c>
    </row>
    <row r="618" spans="2:25" x14ac:dyDescent="0.3">
      <c r="B618" s="26">
        <v>14100</v>
      </c>
      <c r="C618" s="30">
        <v>75.849999999999994</v>
      </c>
      <c r="D618" s="7">
        <v>57.95</v>
      </c>
      <c r="E618" s="40"/>
      <c r="F618" s="30">
        <f t="shared" si="37"/>
        <v>14042.05</v>
      </c>
      <c r="H618" s="7">
        <v>93.35</v>
      </c>
      <c r="I618" s="7">
        <v>121</v>
      </c>
      <c r="J618" s="7"/>
      <c r="K618" s="7"/>
      <c r="L618" s="7">
        <v>110.55</v>
      </c>
      <c r="M618" s="7">
        <v>141.05000000000001</v>
      </c>
      <c r="Q618" s="30"/>
      <c r="R618" s="73"/>
      <c r="S618" s="30">
        <f>R618*Q618</f>
        <v>0</v>
      </c>
      <c r="T618" s="40"/>
      <c r="U618" s="40"/>
      <c r="V618" s="40"/>
      <c r="W618" s="63">
        <v>0.54097222222222219</v>
      </c>
      <c r="X618" s="30">
        <v>20.149999999999999</v>
      </c>
      <c r="Y618" s="30">
        <v>51.8</v>
      </c>
    </row>
    <row r="619" spans="2:25" x14ac:dyDescent="0.3">
      <c r="B619" s="26">
        <f>B618-50</f>
        <v>14050</v>
      </c>
      <c r="C619" s="51">
        <v>57.85</v>
      </c>
      <c r="D619" s="7">
        <v>43.7</v>
      </c>
      <c r="E619" s="40"/>
      <c r="F619" s="50">
        <f t="shared" si="37"/>
        <v>14006.3</v>
      </c>
      <c r="H619" s="7">
        <v>67.900000000000006</v>
      </c>
      <c r="I619" s="7">
        <v>91.7</v>
      </c>
      <c r="J619" s="7"/>
      <c r="K619" s="7"/>
      <c r="L619" s="7">
        <v>82.1</v>
      </c>
      <c r="M619" s="7">
        <v>104.8</v>
      </c>
      <c r="Q619" s="30"/>
      <c r="R619" s="73"/>
      <c r="S619" s="30">
        <f>R619*Q619</f>
        <v>0</v>
      </c>
      <c r="T619" s="40"/>
      <c r="U619" s="40"/>
      <c r="V619" s="40"/>
      <c r="W619" s="63">
        <v>6.1805555555555558E-2</v>
      </c>
      <c r="X619" s="30">
        <v>16.25</v>
      </c>
      <c r="Y619" s="30">
        <v>57.25</v>
      </c>
    </row>
    <row r="620" spans="2:25" x14ac:dyDescent="0.3">
      <c r="B620" s="72">
        <f>B619-50</f>
        <v>14000</v>
      </c>
      <c r="C620" s="30">
        <v>44</v>
      </c>
      <c r="D620" s="30">
        <v>33.450000000000003</v>
      </c>
      <c r="E620" s="40"/>
      <c r="F620" s="30">
        <f t="shared" si="37"/>
        <v>13966.55</v>
      </c>
      <c r="H620" s="7">
        <v>48.05</v>
      </c>
      <c r="I620" s="7">
        <v>68.150000000000006</v>
      </c>
      <c r="J620" s="7"/>
      <c r="K620" s="7"/>
      <c r="L620" s="7">
        <v>60.2</v>
      </c>
      <c r="M620" s="7">
        <v>73.7</v>
      </c>
      <c r="Q620" s="30">
        <f>S620/R620</f>
        <v>88</v>
      </c>
      <c r="R620" s="73">
        <f>SUM(R617:R619)</f>
        <v>75</v>
      </c>
      <c r="S620" s="30">
        <f>SUM(S617:S619)</f>
        <v>6600</v>
      </c>
      <c r="W620" s="63">
        <v>8.2638888888888887E-2</v>
      </c>
      <c r="X620" s="30">
        <v>11.65</v>
      </c>
      <c r="Y620" s="30">
        <v>82.1</v>
      </c>
    </row>
    <row r="621" spans="2:25" x14ac:dyDescent="0.3">
      <c r="B621" s="26">
        <f>B620-50</f>
        <v>13950</v>
      </c>
      <c r="C621" s="30">
        <v>32.9</v>
      </c>
      <c r="D621" s="30">
        <v>24.8</v>
      </c>
      <c r="E621" s="40"/>
      <c r="F621" s="30">
        <f t="shared" si="37"/>
        <v>13925.2</v>
      </c>
      <c r="H621" s="7">
        <v>33.299999999999997</v>
      </c>
      <c r="I621" s="7">
        <v>49.4</v>
      </c>
      <c r="J621" s="7"/>
      <c r="K621" s="7"/>
      <c r="L621" s="7">
        <v>43.2</v>
      </c>
      <c r="M621" s="7">
        <v>49.95</v>
      </c>
      <c r="Q621" s="136" t="e">
        <f>S621/(R615-R620)</f>
        <v>#DIV/0!</v>
      </c>
      <c r="R621" s="137"/>
      <c r="S621" s="30">
        <f>S620-S615</f>
        <v>1665</v>
      </c>
      <c r="W621" s="63">
        <v>6.25E-2</v>
      </c>
      <c r="X621" s="30">
        <v>10.4</v>
      </c>
      <c r="Y621" s="23">
        <v>65.8</v>
      </c>
    </row>
    <row r="633" spans="2:25" x14ac:dyDescent="0.3">
      <c r="B633" s="40"/>
      <c r="C633" s="50">
        <f>B634+E634</f>
        <v>13890</v>
      </c>
      <c r="D633" s="51">
        <f>C633+E634</f>
        <v>13930</v>
      </c>
      <c r="E633" s="21"/>
      <c r="F633" s="21"/>
      <c r="H633" s="52" t="str">
        <f>IF((C642-D642)&gt;(C651-D651),"LONG",IF(C651&gt;D649,"LONG","SHORT"))</f>
        <v>SHORT</v>
      </c>
      <c r="I633" s="138" t="s">
        <v>90</v>
      </c>
      <c r="J633" s="139"/>
      <c r="K633" s="140"/>
      <c r="L633" s="53">
        <f>AVERAGE(L634:L635)</f>
        <v>309.02499999999998</v>
      </c>
      <c r="Q633" s="54">
        <v>0.39166666666666666</v>
      </c>
      <c r="R633" s="54">
        <v>0.39861111111111108</v>
      </c>
      <c r="S633" s="54">
        <v>0.4055555555555555</v>
      </c>
      <c r="T633" s="54">
        <v>0.41250000000000003</v>
      </c>
      <c r="U633" s="55"/>
      <c r="W633" s="34" t="s">
        <v>68</v>
      </c>
      <c r="X633" s="56" t="s">
        <v>69</v>
      </c>
      <c r="Y633" s="57" t="s">
        <v>70</v>
      </c>
    </row>
    <row r="634" spans="2:25" x14ac:dyDescent="0.3">
      <c r="B634" s="50">
        <v>13850</v>
      </c>
      <c r="C634" s="40"/>
      <c r="D634" s="58"/>
      <c r="E634" s="59">
        <f>ROUND((((B634*F634%)/4)/10),0)*10</f>
        <v>40</v>
      </c>
      <c r="F634" s="51">
        <v>1.29</v>
      </c>
      <c r="H634" s="60" t="s">
        <v>69</v>
      </c>
      <c r="I634" s="61">
        <f>AVERAGE(C651,C640)</f>
        <v>258.3</v>
      </c>
      <c r="J634" s="61">
        <f>AVERAGE(C651,C641)</f>
        <v>228.97500000000002</v>
      </c>
      <c r="K634" s="61">
        <f>AVERAGE(C651,C642)</f>
        <v>203.17500000000001</v>
      </c>
      <c r="L634" s="61">
        <f>C640</f>
        <v>321.75</v>
      </c>
      <c r="Q634" s="51">
        <v>13818</v>
      </c>
      <c r="R634" s="51">
        <v>13859.1</v>
      </c>
      <c r="S634" s="51">
        <v>13886.2</v>
      </c>
      <c r="T634" s="51">
        <v>13855.1</v>
      </c>
      <c r="U634" s="62"/>
      <c r="W634" s="63">
        <v>0.41597222222222219</v>
      </c>
      <c r="X634" s="30">
        <v>211.5</v>
      </c>
      <c r="Y634" s="30">
        <v>194.85</v>
      </c>
    </row>
    <row r="635" spans="2:25" x14ac:dyDescent="0.3">
      <c r="B635" s="40"/>
      <c r="C635" s="50">
        <f>B634-E634</f>
        <v>13810</v>
      </c>
      <c r="D635" s="51">
        <f>C635-E634</f>
        <v>13770</v>
      </c>
      <c r="E635" s="21"/>
      <c r="F635" s="21"/>
      <c r="H635" s="60" t="s">
        <v>70</v>
      </c>
      <c r="I635" s="61">
        <f>AVERAGE(C642,C649)</f>
        <v>253.9</v>
      </c>
      <c r="J635" s="61">
        <f>AVERAGE(C642,C650)</f>
        <v>227.25</v>
      </c>
      <c r="K635" s="61">
        <f>AVERAGE(C642,C651)</f>
        <v>203.17500000000001</v>
      </c>
      <c r="L635" s="61">
        <f>C649</f>
        <v>296.3</v>
      </c>
      <c r="W635" s="63">
        <v>0.4368055555555555</v>
      </c>
      <c r="X635" s="30">
        <v>204.65</v>
      </c>
      <c r="Y635" s="30">
        <v>197.9</v>
      </c>
    </row>
    <row r="636" spans="2:25" x14ac:dyDescent="0.3">
      <c r="F636" s="40"/>
      <c r="G636" s="40"/>
      <c r="K636" s="40"/>
      <c r="W636" s="63">
        <v>0.45763888888888887</v>
      </c>
      <c r="X636" s="30">
        <v>210.7</v>
      </c>
      <c r="Y636" s="30">
        <v>189.6</v>
      </c>
    </row>
    <row r="637" spans="2:25" x14ac:dyDescent="0.3">
      <c r="B637" s="40"/>
      <c r="P637" s="40"/>
      <c r="W637" s="63">
        <v>0.47847222222222219</v>
      </c>
      <c r="X637" s="30">
        <v>203.65</v>
      </c>
      <c r="Y637" s="30">
        <v>191.65</v>
      </c>
    </row>
    <row r="638" spans="2:25" x14ac:dyDescent="0.3">
      <c r="C638" s="64">
        <v>44224</v>
      </c>
      <c r="F638" s="30">
        <f>AVERAGE(F640,F649)</f>
        <v>13864.875</v>
      </c>
      <c r="G638" s="65"/>
      <c r="H638" s="66">
        <v>0.52708333333333335</v>
      </c>
      <c r="I638" s="66">
        <v>6.1111111111111116E-2</v>
      </c>
      <c r="J638" s="66"/>
      <c r="K638" s="66"/>
      <c r="L638" s="66">
        <v>8.3333333333333329E-2</v>
      </c>
      <c r="M638" s="66">
        <v>0.13541666666666666</v>
      </c>
      <c r="P638" s="40"/>
      <c r="Q638" s="132" t="s">
        <v>71</v>
      </c>
      <c r="R638" s="132"/>
      <c r="S638" s="132" t="s">
        <v>37</v>
      </c>
      <c r="T638" s="132"/>
      <c r="U638" s="69"/>
      <c r="W638" s="63">
        <v>0.4993055555555555</v>
      </c>
      <c r="X638" s="30">
        <v>196.15</v>
      </c>
      <c r="Y638" s="30">
        <v>199.65</v>
      </c>
    </row>
    <row r="639" spans="2:25" x14ac:dyDescent="0.3">
      <c r="B639" s="34" t="s">
        <v>68</v>
      </c>
      <c r="C639" s="63">
        <v>0.41666666666666669</v>
      </c>
      <c r="D639" s="63">
        <v>0.39097222222222222</v>
      </c>
      <c r="H639" s="7">
        <v>13770.05</v>
      </c>
      <c r="I639" s="7">
        <v>13815.9</v>
      </c>
      <c r="J639" s="7"/>
      <c r="K639" s="7"/>
      <c r="L639" s="7">
        <v>13794.65</v>
      </c>
      <c r="M639" s="7">
        <v>13820</v>
      </c>
      <c r="P639" s="40"/>
      <c r="Q639" s="61">
        <f>R639-(S639-R639)</f>
        <v>13346</v>
      </c>
      <c r="R639" s="61">
        <v>14051.5</v>
      </c>
      <c r="S639" s="61">
        <v>14757</v>
      </c>
      <c r="T639" s="61">
        <f>S639+(S639-R639)</f>
        <v>15462.5</v>
      </c>
      <c r="U639" s="71"/>
      <c r="W639" s="63">
        <v>0.52013888888888882</v>
      </c>
      <c r="X639" s="30">
        <v>184.4</v>
      </c>
      <c r="Y639" s="30">
        <v>212.8</v>
      </c>
    </row>
    <row r="640" spans="2:25" x14ac:dyDescent="0.3">
      <c r="B640" s="26">
        <f>B641-100</f>
        <v>13700</v>
      </c>
      <c r="C640" s="30">
        <v>321.75</v>
      </c>
      <c r="D640" s="30">
        <v>309.39999999999998</v>
      </c>
      <c r="E640" s="40"/>
      <c r="F640" s="30">
        <f t="shared" ref="F640:F645" si="38">B640+D640</f>
        <v>14009.4</v>
      </c>
      <c r="H640" s="7">
        <v>264.75</v>
      </c>
      <c r="I640" s="7">
        <v>293.14999999999998</v>
      </c>
      <c r="J640" s="7"/>
      <c r="K640" s="7"/>
      <c r="L640" s="7">
        <v>281.05</v>
      </c>
      <c r="M640" s="7">
        <v>285.45</v>
      </c>
      <c r="P640" s="40"/>
      <c r="S640" s="40"/>
      <c r="W640" s="63">
        <v>0.54097222222222219</v>
      </c>
      <c r="X640" s="30">
        <v>165.4</v>
      </c>
      <c r="Y640" s="30">
        <v>242.05</v>
      </c>
    </row>
    <row r="641" spans="2:25" x14ac:dyDescent="0.3">
      <c r="B641" s="26">
        <f>B642-100</f>
        <v>13800</v>
      </c>
      <c r="C641" s="30">
        <v>263.10000000000002</v>
      </c>
      <c r="D641" s="30">
        <v>252.75</v>
      </c>
      <c r="E641" s="40"/>
      <c r="F641" s="30">
        <f t="shared" si="38"/>
        <v>14052.75</v>
      </c>
      <c r="H641" s="7">
        <v>211.95</v>
      </c>
      <c r="I641" s="7">
        <v>236.15</v>
      </c>
      <c r="J641" s="7"/>
      <c r="K641" s="7"/>
      <c r="L641" s="7">
        <v>227</v>
      </c>
      <c r="M641" s="7">
        <v>229.2</v>
      </c>
      <c r="P641" s="40"/>
      <c r="W641" s="63">
        <v>6.1805555555555558E-2</v>
      </c>
      <c r="X641" s="30">
        <v>188.85</v>
      </c>
      <c r="Y641" s="30">
        <v>203.85</v>
      </c>
    </row>
    <row r="642" spans="2:25" x14ac:dyDescent="0.3">
      <c r="B642" s="26">
        <v>13900</v>
      </c>
      <c r="C642" s="30">
        <v>211.5</v>
      </c>
      <c r="D642" s="30">
        <v>203.55</v>
      </c>
      <c r="E642" s="40"/>
      <c r="F642" s="30">
        <f t="shared" si="38"/>
        <v>14103.55</v>
      </c>
      <c r="H642" s="7">
        <v>168.2</v>
      </c>
      <c r="I642" s="7">
        <v>188</v>
      </c>
      <c r="J642" s="7"/>
      <c r="K642" s="7"/>
      <c r="L642" s="7">
        <v>180.55</v>
      </c>
      <c r="M642" s="7">
        <v>180.4</v>
      </c>
      <c r="P642" s="40"/>
      <c r="W642" s="63">
        <v>8.2638888888888887E-2</v>
      </c>
      <c r="X642" s="30">
        <v>180.55</v>
      </c>
      <c r="Y642" s="30">
        <v>221.85</v>
      </c>
    </row>
    <row r="643" spans="2:25" x14ac:dyDescent="0.3">
      <c r="B643" s="26">
        <f>B642+100</f>
        <v>14000</v>
      </c>
      <c r="C643" s="30">
        <v>166.1</v>
      </c>
      <c r="D643" s="23">
        <v>161.9</v>
      </c>
      <c r="E643" s="40"/>
      <c r="F643" s="50">
        <f t="shared" si="38"/>
        <v>14161.9</v>
      </c>
      <c r="H643" s="7">
        <v>131.19999999999999</v>
      </c>
      <c r="I643" s="7">
        <v>146.25</v>
      </c>
      <c r="J643" s="7"/>
      <c r="K643" s="7"/>
      <c r="L643" s="7">
        <v>140.4</v>
      </c>
      <c r="M643" s="7">
        <v>141</v>
      </c>
    </row>
    <row r="644" spans="2:25" x14ac:dyDescent="0.3">
      <c r="B644" s="72">
        <f>B643+100</f>
        <v>14100</v>
      </c>
      <c r="C644" s="51">
        <v>129.19999999999999</v>
      </c>
      <c r="D644" s="30">
        <v>125.4</v>
      </c>
      <c r="E644" s="40"/>
      <c r="F644" s="30">
        <f t="shared" si="38"/>
        <v>14225.4</v>
      </c>
      <c r="H644" s="7">
        <v>101.75</v>
      </c>
      <c r="I644" s="7">
        <v>113.2</v>
      </c>
      <c r="J644" s="7"/>
      <c r="K644" s="7"/>
      <c r="L644" s="7">
        <v>108.65</v>
      </c>
      <c r="M644" s="7">
        <v>107</v>
      </c>
      <c r="Q644" s="133" t="s">
        <v>72</v>
      </c>
      <c r="R644" s="134"/>
      <c r="S644" s="135"/>
      <c r="W644" s="34" t="s">
        <v>68</v>
      </c>
      <c r="X644" s="56" t="s">
        <v>69</v>
      </c>
      <c r="Y644" s="57" t="s">
        <v>70</v>
      </c>
    </row>
    <row r="645" spans="2:25" x14ac:dyDescent="0.3">
      <c r="B645" s="26">
        <f>B644+100</f>
        <v>14200</v>
      </c>
      <c r="C645" s="30">
        <v>97.8</v>
      </c>
      <c r="D645" s="30">
        <v>96.4</v>
      </c>
      <c r="E645" s="40"/>
      <c r="F645" s="30">
        <f t="shared" si="38"/>
        <v>14296.4</v>
      </c>
      <c r="H645" s="7">
        <v>77</v>
      </c>
      <c r="I645" s="7">
        <v>85.5</v>
      </c>
      <c r="J645" s="7"/>
      <c r="K645" s="7"/>
      <c r="L645" s="7">
        <v>82</v>
      </c>
      <c r="M645" s="7">
        <v>80.3</v>
      </c>
      <c r="Q645" s="30">
        <v>142.19999999999999</v>
      </c>
      <c r="R645" s="73">
        <v>75</v>
      </c>
      <c r="S645" s="30">
        <f>R645*Q645</f>
        <v>10665</v>
      </c>
      <c r="W645" s="63">
        <v>0.41597222222222219</v>
      </c>
      <c r="X645" s="30">
        <v>129.19999999999999</v>
      </c>
      <c r="Y645" s="30">
        <v>120.15</v>
      </c>
    </row>
    <row r="646" spans="2:25" x14ac:dyDescent="0.3">
      <c r="E646" s="40">
        <f>F646-(G646-F646)</f>
        <v>116.17500000000001</v>
      </c>
      <c r="F646" s="40">
        <f>AVERAGE(C643,C652)</f>
        <v>159.67500000000001</v>
      </c>
      <c r="G646" s="40">
        <f>AVERAGE(C642,C651)</f>
        <v>203.17500000000001</v>
      </c>
      <c r="H646" s="17"/>
      <c r="I646" s="17"/>
      <c r="J646" s="17"/>
      <c r="K646" s="76"/>
      <c r="L646" s="17"/>
      <c r="M646" s="17"/>
      <c r="Q646" s="30">
        <v>142.19999999999999</v>
      </c>
      <c r="R646" s="73">
        <v>75</v>
      </c>
      <c r="S646" s="30">
        <f>R646*Q646</f>
        <v>10665</v>
      </c>
      <c r="W646" s="63">
        <v>0.4368055555555555</v>
      </c>
      <c r="X646" s="30">
        <v>126.8</v>
      </c>
      <c r="Y646" s="30">
        <v>122.1</v>
      </c>
    </row>
    <row r="647" spans="2:25" x14ac:dyDescent="0.3">
      <c r="C647" s="64">
        <v>43865</v>
      </c>
      <c r="E647" s="40"/>
      <c r="F647" s="40">
        <f>AVERAGE(E648,F648)</f>
        <v>121.6</v>
      </c>
      <c r="G647" s="40"/>
      <c r="H647" s="66">
        <v>0.52708333333333335</v>
      </c>
      <c r="I647" s="66">
        <v>6.1111111111111116E-2</v>
      </c>
      <c r="J647" s="63"/>
      <c r="K647" s="66"/>
      <c r="L647" s="67">
        <v>8.3333333333333329E-2</v>
      </c>
      <c r="M647" s="66">
        <v>0.13541666666666666</v>
      </c>
      <c r="Q647" s="30"/>
      <c r="R647" s="73"/>
      <c r="S647" s="30">
        <f>R647*Q647</f>
        <v>0</v>
      </c>
      <c r="W647" s="63">
        <v>0.45763888888888887</v>
      </c>
      <c r="X647" s="30">
        <v>129.5</v>
      </c>
      <c r="Y647" s="30">
        <v>123.5</v>
      </c>
    </row>
    <row r="648" spans="2:25" x14ac:dyDescent="0.3">
      <c r="B648" s="34" t="s">
        <v>68</v>
      </c>
      <c r="C648" s="63">
        <v>0.41666666666666669</v>
      </c>
      <c r="D648" s="63">
        <v>0.40138888888888885</v>
      </c>
      <c r="E648" s="40">
        <f>F648-(G648-F648)</f>
        <v>101.97499999999999</v>
      </c>
      <c r="F648" s="40">
        <f>AVERAGE(C652,C644)</f>
        <v>141.22499999999999</v>
      </c>
      <c r="G648" s="40">
        <f>AVERAGE(C651,C643)</f>
        <v>180.47499999999999</v>
      </c>
      <c r="H648" s="23">
        <v>141.19999999999999</v>
      </c>
      <c r="I648" s="23">
        <v>121.6</v>
      </c>
      <c r="J648" s="7"/>
      <c r="K648" s="7"/>
      <c r="L648" s="7">
        <v>13794.65</v>
      </c>
      <c r="M648" s="7">
        <v>13820</v>
      </c>
      <c r="Q648" s="30">
        <f>S648/R648</f>
        <v>142.19999999999999</v>
      </c>
      <c r="R648" s="73">
        <f>SUM(R645:R647)</f>
        <v>150</v>
      </c>
      <c r="S648" s="30">
        <f>SUM(S645:S647)</f>
        <v>21330</v>
      </c>
      <c r="V648" s="40"/>
      <c r="W648" s="63">
        <v>0.47847222222222219</v>
      </c>
      <c r="X648" s="30">
        <v>123.5</v>
      </c>
      <c r="Y648" s="30">
        <v>116</v>
      </c>
    </row>
    <row r="649" spans="2:25" x14ac:dyDescent="0.3">
      <c r="B649" s="26">
        <f>B650+100</f>
        <v>14000</v>
      </c>
      <c r="C649" s="30">
        <v>296.3</v>
      </c>
      <c r="D649" s="30">
        <v>279.64999999999998</v>
      </c>
      <c r="E649" s="40"/>
      <c r="F649" s="30">
        <f t="shared" ref="F649:F654" si="39">B649-D649</f>
        <v>13720.35</v>
      </c>
      <c r="H649" s="7">
        <v>349.3</v>
      </c>
      <c r="I649" s="7">
        <v>318.8</v>
      </c>
      <c r="J649" s="7"/>
      <c r="K649" s="7"/>
      <c r="L649" s="7">
        <v>335</v>
      </c>
      <c r="M649" s="7">
        <v>312.5</v>
      </c>
      <c r="P649" s="50">
        <f>S654</f>
        <v>-3322.5</v>
      </c>
      <c r="Q649" s="57" t="s">
        <v>72</v>
      </c>
      <c r="S649" s="57" t="s">
        <v>73</v>
      </c>
      <c r="T649" s="23">
        <f>((X645+Y645)-(X654+Y654))</f>
        <v>1.1500000000000057</v>
      </c>
      <c r="U649" s="23"/>
      <c r="V649" s="50">
        <f>T649*225</f>
        <v>258.75000000000125</v>
      </c>
      <c r="W649" s="63">
        <v>0.4993055555555555</v>
      </c>
      <c r="X649" s="30">
        <v>120.05</v>
      </c>
      <c r="Y649" s="30">
        <v>122</v>
      </c>
    </row>
    <row r="650" spans="2:25" x14ac:dyDescent="0.3">
      <c r="B650" s="26">
        <f>B651+100</f>
        <v>13900</v>
      </c>
      <c r="C650" s="30">
        <v>243</v>
      </c>
      <c r="D650" s="30">
        <v>227.7</v>
      </c>
      <c r="E650" s="40"/>
      <c r="F650" s="30">
        <f t="shared" si="39"/>
        <v>13672.3</v>
      </c>
      <c r="H650" s="7">
        <v>286</v>
      </c>
      <c r="I650" s="7">
        <v>259.85000000000002</v>
      </c>
      <c r="J650" s="7"/>
      <c r="K650" s="7"/>
      <c r="L650" s="7">
        <v>275.75</v>
      </c>
      <c r="M650" s="7">
        <v>253.4</v>
      </c>
      <c r="Q650" s="30">
        <v>120.05</v>
      </c>
      <c r="R650" s="73">
        <v>75</v>
      </c>
      <c r="S650" s="30">
        <f>R650*Q650</f>
        <v>9003.75</v>
      </c>
      <c r="W650" s="63">
        <v>0.52013888888888882</v>
      </c>
      <c r="X650" s="30">
        <v>111.15</v>
      </c>
      <c r="Y650" s="30">
        <v>130</v>
      </c>
    </row>
    <row r="651" spans="2:25" x14ac:dyDescent="0.3">
      <c r="B651" s="26">
        <v>13800</v>
      </c>
      <c r="C651" s="30">
        <v>194.85</v>
      </c>
      <c r="D651" s="7">
        <v>182.25</v>
      </c>
      <c r="E651" s="40"/>
      <c r="F651" s="30">
        <f t="shared" si="39"/>
        <v>13617.75</v>
      </c>
      <c r="H651" s="7">
        <v>229.05</v>
      </c>
      <c r="I651" s="7">
        <v>208.8</v>
      </c>
      <c r="J651" s="7"/>
      <c r="K651" s="7"/>
      <c r="L651" s="7">
        <v>221.85</v>
      </c>
      <c r="M651" s="7">
        <v>202</v>
      </c>
      <c r="Q651" s="30">
        <v>120.05</v>
      </c>
      <c r="R651" s="73">
        <v>75</v>
      </c>
      <c r="S651" s="30">
        <f>R651*Q651</f>
        <v>9003.75</v>
      </c>
      <c r="T651" s="40"/>
      <c r="U651" s="40"/>
      <c r="V651" s="40"/>
      <c r="W651" s="63">
        <v>0.54097222222222219</v>
      </c>
      <c r="X651" s="30">
        <v>101.15</v>
      </c>
      <c r="Y651" s="30">
        <v>151.19999999999999</v>
      </c>
    </row>
    <row r="652" spans="2:25" x14ac:dyDescent="0.3">
      <c r="B652" s="26">
        <f>B651-100</f>
        <v>13700</v>
      </c>
      <c r="C652" s="30">
        <v>153.25</v>
      </c>
      <c r="D652" s="23">
        <v>144</v>
      </c>
      <c r="E652" s="40"/>
      <c r="F652" s="50">
        <f t="shared" si="39"/>
        <v>13556</v>
      </c>
      <c r="H652" s="7">
        <v>181.9</v>
      </c>
      <c r="I652" s="7">
        <v>165.6</v>
      </c>
      <c r="J652" s="7"/>
      <c r="K652" s="7"/>
      <c r="L652" s="7">
        <v>174.6</v>
      </c>
      <c r="M652" s="7">
        <v>156.80000000000001</v>
      </c>
      <c r="Q652" s="30"/>
      <c r="R652" s="73"/>
      <c r="S652" s="30">
        <f>R652*Q652</f>
        <v>0</v>
      </c>
      <c r="T652" s="40"/>
      <c r="U652" s="40"/>
      <c r="V652" s="40"/>
      <c r="W652" s="63">
        <v>6.1805555555555558E-2</v>
      </c>
      <c r="X652" s="30">
        <v>113</v>
      </c>
      <c r="Y652" s="30">
        <v>126.25</v>
      </c>
    </row>
    <row r="653" spans="2:25" x14ac:dyDescent="0.3">
      <c r="B653" s="72">
        <f>B652-100</f>
        <v>13600</v>
      </c>
      <c r="C653" s="51">
        <v>120.15</v>
      </c>
      <c r="D653" s="7">
        <v>112</v>
      </c>
      <c r="E653" s="40"/>
      <c r="F653" s="30">
        <f t="shared" si="39"/>
        <v>13488</v>
      </c>
      <c r="H653" s="7">
        <v>142.19999999999999</v>
      </c>
      <c r="I653" s="7">
        <v>129.15</v>
      </c>
      <c r="J653" s="7"/>
      <c r="K653" s="7"/>
      <c r="L653" s="7">
        <v>134.4</v>
      </c>
      <c r="M653" s="7">
        <v>120.05</v>
      </c>
      <c r="Q653" s="30">
        <f>S653/R653</f>
        <v>120.05</v>
      </c>
      <c r="R653" s="73">
        <f>SUM(R650:R652)</f>
        <v>150</v>
      </c>
      <c r="S653" s="30">
        <f>SUM(S650:S652)</f>
        <v>18007.5</v>
      </c>
      <c r="W653" s="63">
        <v>8.2638888888888887E-2</v>
      </c>
      <c r="X653" s="30">
        <v>108.65</v>
      </c>
      <c r="Y653" s="30">
        <v>134.4</v>
      </c>
    </row>
    <row r="654" spans="2:25" x14ac:dyDescent="0.3">
      <c r="B654" s="26">
        <f>B653-100</f>
        <v>13500</v>
      </c>
      <c r="C654" s="30">
        <v>94</v>
      </c>
      <c r="D654" s="30">
        <v>88.05</v>
      </c>
      <c r="E654" s="40"/>
      <c r="F654" s="30">
        <f t="shared" si="39"/>
        <v>13411.95</v>
      </c>
      <c r="H654" s="7">
        <v>110.35</v>
      </c>
      <c r="I654" s="7">
        <v>100</v>
      </c>
      <c r="J654" s="7"/>
      <c r="K654" s="7"/>
      <c r="L654" s="7">
        <v>102.6</v>
      </c>
      <c r="M654" s="7">
        <v>89.85</v>
      </c>
      <c r="Q654" s="136" t="e">
        <f>S654/(R648-R653)</f>
        <v>#DIV/0!</v>
      </c>
      <c r="R654" s="137"/>
      <c r="S654" s="30">
        <f>S653-S648</f>
        <v>-3322.5</v>
      </c>
      <c r="W654" s="63">
        <v>0.52708333333333335</v>
      </c>
      <c r="X654" s="30">
        <v>107</v>
      </c>
      <c r="Y654" s="23">
        <v>141.19999999999999</v>
      </c>
    </row>
    <row r="666" spans="2:25" x14ac:dyDescent="0.3">
      <c r="B666" s="40"/>
      <c r="C666" s="50">
        <f>B667+E667</f>
        <v>13925.55</v>
      </c>
      <c r="D666" s="51">
        <f>C666+E667</f>
        <v>13975.55</v>
      </c>
      <c r="E666" s="21"/>
      <c r="F666" s="21"/>
      <c r="H666" s="52" t="str">
        <f>IF((C675-D675)&gt;(C684-D684),"LONG",IF(C684&gt;D682,"LONG","SHORT"))</f>
        <v>SHORT</v>
      </c>
      <c r="I666" s="138" t="s">
        <v>91</v>
      </c>
      <c r="J666" s="139"/>
      <c r="K666" s="140"/>
      <c r="L666" s="53">
        <f>AVERAGE(L667:L668)</f>
        <v>310.72500000000002</v>
      </c>
      <c r="Q666" s="54">
        <v>0.39166666666666666</v>
      </c>
      <c r="R666" s="54">
        <v>0.39861111111111108</v>
      </c>
      <c r="S666" s="54">
        <v>0.4055555555555555</v>
      </c>
      <c r="T666" s="54">
        <v>0.41250000000000003</v>
      </c>
      <c r="U666" s="55"/>
      <c r="W666" s="34" t="s">
        <v>68</v>
      </c>
      <c r="X666" s="56" t="s">
        <v>69</v>
      </c>
      <c r="Y666" s="57" t="s">
        <v>70</v>
      </c>
    </row>
    <row r="667" spans="2:25" x14ac:dyDescent="0.3">
      <c r="B667" s="50">
        <v>13875.55</v>
      </c>
      <c r="C667" s="40"/>
      <c r="D667" s="58"/>
      <c r="E667" s="59">
        <f>ROUND((((B667*F667%)/4)/10),0)*10</f>
        <v>50</v>
      </c>
      <c r="F667" s="51">
        <v>1.31</v>
      </c>
      <c r="H667" s="60" t="s">
        <v>69</v>
      </c>
      <c r="I667" s="61">
        <f>AVERAGE(C684,C673)</f>
        <v>260.35000000000002</v>
      </c>
      <c r="J667" s="61">
        <f>AVERAGE(C684,C674)</f>
        <v>231.125</v>
      </c>
      <c r="K667" s="61">
        <f>AVERAGE(C684,C675)</f>
        <v>204.7</v>
      </c>
      <c r="L667" s="61">
        <f>C673</f>
        <v>319.55</v>
      </c>
      <c r="Q667" s="51">
        <v>13942.65</v>
      </c>
      <c r="R667" s="51">
        <v>13891.95</v>
      </c>
      <c r="S667" s="51">
        <v>13875.1</v>
      </c>
      <c r="T667" s="51">
        <v>13905</v>
      </c>
      <c r="U667" s="62"/>
      <c r="W667" s="63">
        <v>0.41597222222222219</v>
      </c>
      <c r="X667" s="30">
        <v>208.25</v>
      </c>
      <c r="Y667" s="30">
        <v>201.15</v>
      </c>
    </row>
    <row r="668" spans="2:25" x14ac:dyDescent="0.3">
      <c r="B668" s="40"/>
      <c r="C668" s="50">
        <f>B667-E667</f>
        <v>13825.55</v>
      </c>
      <c r="D668" s="51">
        <f>C668-E667</f>
        <v>13775.55</v>
      </c>
      <c r="E668" s="21"/>
      <c r="F668" s="21"/>
      <c r="H668" s="60" t="s">
        <v>70</v>
      </c>
      <c r="I668" s="61">
        <f>AVERAGE(C675,C682)</f>
        <v>255.07499999999999</v>
      </c>
      <c r="J668" s="61">
        <f>AVERAGE(C675,C683)</f>
        <v>227.92500000000001</v>
      </c>
      <c r="K668" s="61">
        <f>AVERAGE(C675,C684)</f>
        <v>204.7</v>
      </c>
      <c r="L668" s="61">
        <f>C682</f>
        <v>301.89999999999998</v>
      </c>
      <c r="W668" s="63">
        <v>0.4368055555555555</v>
      </c>
      <c r="X668" s="30">
        <v>193</v>
      </c>
      <c r="Y668" s="30">
        <v>220</v>
      </c>
    </row>
    <row r="669" spans="2:25" x14ac:dyDescent="0.3">
      <c r="F669" s="40"/>
      <c r="G669" s="40"/>
      <c r="K669" s="40"/>
      <c r="W669" s="63">
        <v>0.45763888888888887</v>
      </c>
      <c r="X669" s="30">
        <v>203.1</v>
      </c>
      <c r="Y669" s="30">
        <v>211.2</v>
      </c>
    </row>
    <row r="670" spans="2:25" x14ac:dyDescent="0.3">
      <c r="B670" s="40"/>
      <c r="W670" s="63">
        <v>0.47847222222222219</v>
      </c>
      <c r="X670" s="30">
        <v>209.6</v>
      </c>
      <c r="Y670" s="30">
        <v>202.95</v>
      </c>
    </row>
    <row r="671" spans="2:25" x14ac:dyDescent="0.3">
      <c r="C671" s="64">
        <v>44225</v>
      </c>
      <c r="F671" s="30">
        <f>AVERAGE(F673,F682)</f>
        <v>13892.4</v>
      </c>
      <c r="G671" s="65"/>
      <c r="H671" s="66">
        <v>6.8749999999999992E-2</v>
      </c>
      <c r="I671" s="66">
        <v>9.2361111111111116E-2</v>
      </c>
      <c r="J671" s="66"/>
      <c r="K671" s="66"/>
      <c r="L671" s="66">
        <v>8.3333333333333329E-2</v>
      </c>
      <c r="M671" s="63">
        <v>0.13541666666666666</v>
      </c>
      <c r="Q671" s="132" t="s">
        <v>71</v>
      </c>
      <c r="R671" s="132"/>
      <c r="S671" s="132" t="s">
        <v>37</v>
      </c>
      <c r="T671" s="132"/>
      <c r="U671" s="69"/>
      <c r="W671" s="63">
        <v>0.4993055555555555</v>
      </c>
      <c r="X671" s="30">
        <v>190.15</v>
      </c>
      <c r="Y671" s="30">
        <v>230</v>
      </c>
    </row>
    <row r="672" spans="2:25" x14ac:dyDescent="0.3">
      <c r="B672" s="34" t="s">
        <v>68</v>
      </c>
      <c r="C672" s="63">
        <v>0.41666666666666669</v>
      </c>
      <c r="D672" s="63">
        <v>0.41597222222222219</v>
      </c>
      <c r="H672" s="7">
        <v>13770</v>
      </c>
      <c r="I672" s="7">
        <v>13837.55</v>
      </c>
      <c r="J672" s="7"/>
      <c r="K672" s="7"/>
      <c r="L672" s="7">
        <v>13797.3</v>
      </c>
      <c r="M672" s="7">
        <v>13696.95</v>
      </c>
      <c r="Q672" s="61">
        <f>R672-(S672-R672)</f>
        <v>12950.35</v>
      </c>
      <c r="R672" s="61">
        <v>13770</v>
      </c>
      <c r="S672" s="61">
        <v>14589.65</v>
      </c>
      <c r="T672" s="61">
        <f>S672+(S672-R672)</f>
        <v>15409.3</v>
      </c>
      <c r="U672" s="71"/>
      <c r="W672" s="63">
        <v>0.52013888888888882</v>
      </c>
      <c r="X672" s="30">
        <v>193.85</v>
      </c>
      <c r="Y672" s="30">
        <v>217.95</v>
      </c>
    </row>
    <row r="673" spans="2:25" x14ac:dyDescent="0.3">
      <c r="B673" s="26">
        <f>B674-100</f>
        <v>13700</v>
      </c>
      <c r="C673" s="30">
        <v>319.55</v>
      </c>
      <c r="D673" s="30">
        <v>319.55</v>
      </c>
      <c r="E673" s="40"/>
      <c r="F673" s="30">
        <f t="shared" ref="F673:F678" si="40">B673+D673</f>
        <v>14019.55</v>
      </c>
      <c r="H673" s="7">
        <v>262</v>
      </c>
      <c r="I673" s="7">
        <v>286.7</v>
      </c>
      <c r="J673" s="7"/>
      <c r="K673" s="7"/>
      <c r="L673" s="7">
        <v>269.55</v>
      </c>
      <c r="M673" s="7">
        <v>209.6</v>
      </c>
      <c r="S673" s="40"/>
      <c r="W673" s="63">
        <v>0.54097222222222219</v>
      </c>
      <c r="X673" s="30">
        <v>186.95</v>
      </c>
      <c r="Y673" s="30">
        <v>231</v>
      </c>
    </row>
    <row r="674" spans="2:25" x14ac:dyDescent="0.3">
      <c r="B674" s="26">
        <f>B675-100</f>
        <v>13800</v>
      </c>
      <c r="C674" s="30">
        <v>261.10000000000002</v>
      </c>
      <c r="D674" s="30">
        <v>261.10000000000002</v>
      </c>
      <c r="E674" s="40"/>
      <c r="F674" s="30">
        <f t="shared" si="40"/>
        <v>14061.1</v>
      </c>
      <c r="H674" s="7">
        <v>211.45</v>
      </c>
      <c r="I674" s="7">
        <v>231.4</v>
      </c>
      <c r="J674" s="7"/>
      <c r="K674" s="7"/>
      <c r="L674" s="7">
        <v>217.35</v>
      </c>
      <c r="M674" s="7">
        <v>165.25</v>
      </c>
      <c r="W674" s="63">
        <v>6.1805555555555558E-2</v>
      </c>
      <c r="X674" s="30">
        <v>180.45</v>
      </c>
      <c r="Y674" s="30">
        <v>237.3</v>
      </c>
    </row>
    <row r="675" spans="2:25" x14ac:dyDescent="0.3">
      <c r="B675" s="26">
        <v>13900</v>
      </c>
      <c r="C675" s="30">
        <v>208.25</v>
      </c>
      <c r="D675" s="30">
        <v>208.25</v>
      </c>
      <c r="E675" s="40"/>
      <c r="F675" s="30">
        <f t="shared" si="40"/>
        <v>14108.25</v>
      </c>
      <c r="H675" s="7">
        <v>170</v>
      </c>
      <c r="I675" s="7">
        <v>185.4</v>
      </c>
      <c r="J675" s="7"/>
      <c r="K675" s="7"/>
      <c r="L675" s="7">
        <v>172.65</v>
      </c>
      <c r="M675" s="7">
        <v>127.7</v>
      </c>
      <c r="W675" s="63">
        <v>8.2638888888888887E-2</v>
      </c>
      <c r="X675" s="30">
        <v>172.65</v>
      </c>
      <c r="Y675" s="30">
        <v>243.65</v>
      </c>
    </row>
    <row r="676" spans="2:25" x14ac:dyDescent="0.3">
      <c r="B676" s="26">
        <f>B675+100</f>
        <v>14000</v>
      </c>
      <c r="C676" s="7">
        <v>163.1</v>
      </c>
      <c r="D676" s="23">
        <v>163.1</v>
      </c>
      <c r="E676" s="40"/>
      <c r="F676" s="50">
        <f t="shared" si="40"/>
        <v>14163.1</v>
      </c>
      <c r="H676" s="7">
        <v>133.75</v>
      </c>
      <c r="I676" s="7">
        <v>145.30000000000001</v>
      </c>
      <c r="J676" s="7"/>
      <c r="K676" s="7"/>
      <c r="L676" s="7">
        <v>135.19999999999999</v>
      </c>
      <c r="M676" s="7">
        <v>96.8</v>
      </c>
    </row>
    <row r="677" spans="2:25" x14ac:dyDescent="0.3">
      <c r="B677" s="72">
        <f>B676+100</f>
        <v>14100</v>
      </c>
      <c r="C677" s="51">
        <v>124.5</v>
      </c>
      <c r="D677" s="30">
        <v>124.5</v>
      </c>
      <c r="E677" s="40"/>
      <c r="F677" s="30">
        <f t="shared" si="40"/>
        <v>14224.5</v>
      </c>
      <c r="H677" s="7">
        <v>103.15</v>
      </c>
      <c r="I677" s="7">
        <v>111.95</v>
      </c>
      <c r="J677" s="7"/>
      <c r="K677" s="7"/>
      <c r="L677" s="7">
        <v>103.2</v>
      </c>
      <c r="M677" s="7">
        <v>72</v>
      </c>
      <c r="Q677" s="133" t="s">
        <v>72</v>
      </c>
      <c r="R677" s="134"/>
      <c r="S677" s="135"/>
      <c r="W677" s="34" t="s">
        <v>68</v>
      </c>
      <c r="X677" s="56" t="s">
        <v>69</v>
      </c>
      <c r="Y677" s="57" t="s">
        <v>70</v>
      </c>
    </row>
    <row r="678" spans="2:25" x14ac:dyDescent="0.3">
      <c r="B678" s="26">
        <f>B677+100</f>
        <v>14200</v>
      </c>
      <c r="C678" s="30">
        <v>91.85</v>
      </c>
      <c r="D678" s="30">
        <v>91.85</v>
      </c>
      <c r="E678" s="40"/>
      <c r="F678" s="30">
        <f t="shared" si="40"/>
        <v>14291.85</v>
      </c>
      <c r="H678" s="7">
        <v>78.05</v>
      </c>
      <c r="I678" s="7">
        <v>84.2</v>
      </c>
      <c r="J678" s="7"/>
      <c r="K678" s="7"/>
      <c r="L678" s="7">
        <v>77.55</v>
      </c>
      <c r="M678" s="7">
        <v>52.9</v>
      </c>
      <c r="Q678" s="30">
        <v>161.4</v>
      </c>
      <c r="R678" s="73">
        <v>75</v>
      </c>
      <c r="S678" s="30">
        <f>R678*Q678</f>
        <v>12105</v>
      </c>
      <c r="W678" s="63">
        <v>0.41597222222222219</v>
      </c>
      <c r="X678" s="30">
        <v>124.5</v>
      </c>
      <c r="Y678" s="30">
        <v>125.85</v>
      </c>
    </row>
    <row r="679" spans="2:25" x14ac:dyDescent="0.3">
      <c r="E679" s="40">
        <f>F679-(G679-F679)</f>
        <v>118.25</v>
      </c>
      <c r="F679" s="40">
        <f>AVERAGE(C676,C685)</f>
        <v>161.47499999999999</v>
      </c>
      <c r="G679" s="40">
        <f>AVERAGE(C675,C684)</f>
        <v>204.7</v>
      </c>
      <c r="H679" s="17"/>
      <c r="I679" s="17"/>
      <c r="J679" s="17"/>
      <c r="K679" s="76"/>
      <c r="L679" s="17"/>
      <c r="M679" s="17"/>
      <c r="Q679" s="30">
        <v>161.4</v>
      </c>
      <c r="R679" s="73">
        <v>75</v>
      </c>
      <c r="S679" s="30">
        <f>R679*Q679</f>
        <v>12105</v>
      </c>
      <c r="W679" s="63">
        <v>0.4368055555555555</v>
      </c>
      <c r="X679" s="30">
        <v>117.3</v>
      </c>
      <c r="Y679" s="30">
        <v>135.69999999999999</v>
      </c>
    </row>
    <row r="680" spans="2:25" x14ac:dyDescent="0.3">
      <c r="C680" s="64">
        <v>43865</v>
      </c>
      <c r="E680" s="40"/>
      <c r="F680" s="40">
        <f>AVERAGE(E681,F681)</f>
        <v>139.86250000000001</v>
      </c>
      <c r="G680" s="40"/>
      <c r="H680" s="66">
        <v>6.8749999999999992E-2</v>
      </c>
      <c r="I680" s="66">
        <v>9.2361111111111116E-2</v>
      </c>
      <c r="J680" s="66"/>
      <c r="K680" s="66"/>
      <c r="L680" s="67">
        <v>8.3333333333333329E-2</v>
      </c>
      <c r="M680" s="67">
        <v>0.13541666666666666</v>
      </c>
      <c r="Q680" s="30"/>
      <c r="R680" s="73"/>
      <c r="S680" s="30">
        <f>R680*Q680</f>
        <v>0</v>
      </c>
      <c r="W680" s="63">
        <v>0.45763888888888887</v>
      </c>
      <c r="X680" s="30">
        <v>122.45</v>
      </c>
      <c r="Y680" s="30">
        <v>133.5</v>
      </c>
    </row>
    <row r="681" spans="2:25" x14ac:dyDescent="0.3">
      <c r="B681" s="34" t="s">
        <v>68</v>
      </c>
      <c r="C681" s="63">
        <v>0.41666666666666669</v>
      </c>
      <c r="D681" s="63">
        <v>0.38958333333333334</v>
      </c>
      <c r="E681" s="40">
        <f>F681-(G681-F681)</f>
        <v>118.25</v>
      </c>
      <c r="F681" s="40">
        <f>AVERAGE(C685,C676)</f>
        <v>161.47499999999999</v>
      </c>
      <c r="G681" s="40">
        <f>AVERAGE(C675,C684)</f>
        <v>204.7</v>
      </c>
      <c r="H681" s="23">
        <v>161.4</v>
      </c>
      <c r="I681" s="23">
        <v>129</v>
      </c>
      <c r="J681" s="23"/>
      <c r="K681" s="7"/>
      <c r="L681" s="7">
        <v>13797.3</v>
      </c>
      <c r="M681" s="7">
        <v>13696.95</v>
      </c>
      <c r="Q681" s="30">
        <f>S681/R681</f>
        <v>161.4</v>
      </c>
      <c r="R681" s="73">
        <f>SUM(R678:R680)</f>
        <v>150</v>
      </c>
      <c r="S681" s="30">
        <f>SUM(S678:S680)</f>
        <v>24210</v>
      </c>
      <c r="V681" s="40"/>
      <c r="W681" s="63">
        <v>0.47847222222222219</v>
      </c>
      <c r="X681" s="30">
        <v>124.85</v>
      </c>
      <c r="Y681" s="30">
        <v>128.80000000000001</v>
      </c>
    </row>
    <row r="682" spans="2:25" x14ac:dyDescent="0.3">
      <c r="B682" s="26">
        <f>B683+100</f>
        <v>14000</v>
      </c>
      <c r="C682" s="30">
        <v>301.89999999999998</v>
      </c>
      <c r="D682" s="30">
        <v>234.75</v>
      </c>
      <c r="E682" s="40"/>
      <c r="F682" s="30">
        <f t="shared" ref="F682:F687" si="41">B682-D682</f>
        <v>13765.25</v>
      </c>
      <c r="H682" s="7">
        <v>375.45</v>
      </c>
      <c r="I682" s="7">
        <v>327.5</v>
      </c>
      <c r="J682" s="7"/>
      <c r="K682" s="7"/>
      <c r="L682" s="7">
        <v>359.75</v>
      </c>
      <c r="M682" s="7">
        <v>424.45</v>
      </c>
      <c r="P682" s="50">
        <f>S687</f>
        <v>4417.5</v>
      </c>
      <c r="Q682" s="57" t="s">
        <v>72</v>
      </c>
      <c r="S682" s="57" t="s">
        <v>73</v>
      </c>
      <c r="T682" s="23">
        <f>((X678+Y678)-(X687+Y687))</f>
        <v>-26.450000000000017</v>
      </c>
      <c r="U682" s="23"/>
      <c r="V682" s="50">
        <f>T682*225</f>
        <v>-5951.2500000000036</v>
      </c>
      <c r="W682" s="63">
        <v>0.4993055555555555</v>
      </c>
      <c r="X682" s="30">
        <v>115.2</v>
      </c>
      <c r="Y682" s="30">
        <v>144.30000000000001</v>
      </c>
    </row>
    <row r="683" spans="2:25" x14ac:dyDescent="0.3">
      <c r="B683" s="26">
        <f>B684+100</f>
        <v>13900</v>
      </c>
      <c r="C683" s="30">
        <v>247.6</v>
      </c>
      <c r="D683" s="7">
        <v>186.5</v>
      </c>
      <c r="E683" s="40"/>
      <c r="F683" s="30">
        <f t="shared" si="41"/>
        <v>13713.5</v>
      </c>
      <c r="H683" s="7">
        <v>312.89999999999998</v>
      </c>
      <c r="I683" s="7">
        <v>267.39999999999998</v>
      </c>
      <c r="J683" s="7"/>
      <c r="K683" s="7"/>
      <c r="L683" s="7">
        <v>298.10000000000002</v>
      </c>
      <c r="M683" s="7">
        <v>354.5</v>
      </c>
      <c r="Q683" s="30">
        <v>190.85</v>
      </c>
      <c r="R683" s="73">
        <v>75</v>
      </c>
      <c r="S683" s="30">
        <f>R683*Q683</f>
        <v>14313.75</v>
      </c>
      <c r="W683" s="63">
        <v>0.52013888888888882</v>
      </c>
      <c r="X683" s="30">
        <v>118.15</v>
      </c>
      <c r="Y683" s="30">
        <v>135.75</v>
      </c>
    </row>
    <row r="684" spans="2:25" x14ac:dyDescent="0.3">
      <c r="B684" s="26">
        <v>13800</v>
      </c>
      <c r="C684" s="30">
        <v>201.15</v>
      </c>
      <c r="D684" s="7">
        <v>146.9</v>
      </c>
      <c r="E684" s="40"/>
      <c r="F684" s="30">
        <f t="shared" si="41"/>
        <v>13653.1</v>
      </c>
      <c r="H684" s="7">
        <v>255.45</v>
      </c>
      <c r="I684" s="7">
        <v>214.65</v>
      </c>
      <c r="J684" s="7"/>
      <c r="K684" s="7"/>
      <c r="L684" s="7">
        <v>243.65</v>
      </c>
      <c r="M684" s="7">
        <v>293.35000000000002</v>
      </c>
      <c r="Q684" s="30">
        <v>190.85</v>
      </c>
      <c r="R684" s="73">
        <v>75</v>
      </c>
      <c r="S684" s="30">
        <f>R684*Q684</f>
        <v>14313.75</v>
      </c>
      <c r="T684" s="40"/>
      <c r="U684" s="40"/>
      <c r="V684" s="40"/>
      <c r="W684" s="63">
        <v>0.54097222222222219</v>
      </c>
      <c r="X684" s="30">
        <v>115.05</v>
      </c>
      <c r="Y684" s="30">
        <v>144.30000000000001</v>
      </c>
    </row>
    <row r="685" spans="2:25" x14ac:dyDescent="0.3">
      <c r="B685" s="26">
        <f>B684-100</f>
        <v>13700</v>
      </c>
      <c r="C685" s="30">
        <v>159.85</v>
      </c>
      <c r="D685" s="23">
        <v>112.55</v>
      </c>
      <c r="E685" s="40"/>
      <c r="F685" s="50">
        <f t="shared" si="41"/>
        <v>13587.45</v>
      </c>
      <c r="H685" s="7">
        <v>205.55</v>
      </c>
      <c r="I685" s="7">
        <v>169.5</v>
      </c>
      <c r="J685" s="7"/>
      <c r="K685" s="7"/>
      <c r="L685" s="7">
        <v>195.2</v>
      </c>
      <c r="M685" s="7">
        <v>237.95</v>
      </c>
      <c r="Q685" s="30"/>
      <c r="R685" s="73"/>
      <c r="S685" s="30">
        <f>R685*Q685</f>
        <v>0</v>
      </c>
      <c r="T685" s="40"/>
      <c r="U685" s="40"/>
      <c r="V685" s="40"/>
      <c r="W685" s="63">
        <v>6.1805555555555558E-2</v>
      </c>
      <c r="X685" s="30">
        <v>110.1</v>
      </c>
      <c r="Y685" s="30">
        <v>149.35</v>
      </c>
    </row>
    <row r="686" spans="2:25" x14ac:dyDescent="0.3">
      <c r="B686" s="72">
        <f>B685-100</f>
        <v>13600</v>
      </c>
      <c r="C686" s="51">
        <v>125.85</v>
      </c>
      <c r="D686" s="30">
        <v>84.75</v>
      </c>
      <c r="E686" s="40"/>
      <c r="F686" s="30">
        <f t="shared" si="41"/>
        <v>13515.25</v>
      </c>
      <c r="H686" s="7">
        <v>162.30000000000001</v>
      </c>
      <c r="I686" s="7">
        <v>131.19999999999999</v>
      </c>
      <c r="J686" s="7"/>
      <c r="K686" s="7"/>
      <c r="L686" s="7">
        <v>153.44999999999999</v>
      </c>
      <c r="M686" s="7">
        <v>190.85</v>
      </c>
      <c r="Q686" s="30">
        <f>S686/R686</f>
        <v>190.85</v>
      </c>
      <c r="R686" s="73">
        <f>SUM(R683:R685)</f>
        <v>150</v>
      </c>
      <c r="S686" s="30">
        <f>SUM(S683:S685)</f>
        <v>28627.5</v>
      </c>
      <c r="W686" s="63">
        <v>8.2638888888888887E-2</v>
      </c>
      <c r="X686" s="30">
        <v>103.2</v>
      </c>
      <c r="Y686" s="30">
        <v>153.44999999999999</v>
      </c>
    </row>
    <row r="687" spans="2:25" x14ac:dyDescent="0.3">
      <c r="B687" s="26">
        <f>B686-100</f>
        <v>13500</v>
      </c>
      <c r="C687" s="30">
        <v>97.7</v>
      </c>
      <c r="D687" s="30">
        <v>63</v>
      </c>
      <c r="E687" s="40"/>
      <c r="F687" s="30">
        <f t="shared" si="41"/>
        <v>13437</v>
      </c>
      <c r="H687" s="7">
        <v>126.4</v>
      </c>
      <c r="I687" s="7">
        <v>100.7</v>
      </c>
      <c r="J687" s="7"/>
      <c r="K687" s="7"/>
      <c r="L687" s="7">
        <v>119.25</v>
      </c>
      <c r="M687" s="7">
        <v>149.80000000000001</v>
      </c>
      <c r="Q687" s="136" t="e">
        <f>S687/(R681-R686)</f>
        <v>#DIV/0!</v>
      </c>
      <c r="R687" s="137"/>
      <c r="S687" s="30">
        <f>S686-S681</f>
        <v>4417.5</v>
      </c>
      <c r="W687" s="63">
        <v>6.8749999999999992E-2</v>
      </c>
      <c r="X687" s="30">
        <v>115.4</v>
      </c>
      <c r="Y687" s="23">
        <v>161.4</v>
      </c>
    </row>
    <row r="699" spans="2:25" x14ac:dyDescent="0.3">
      <c r="B699" s="40"/>
      <c r="C699" s="50">
        <f>B700+E700</f>
        <v>13802</v>
      </c>
      <c r="D699" s="51">
        <f>C699+E700</f>
        <v>13852</v>
      </c>
      <c r="E699" s="21"/>
      <c r="F699" s="21"/>
      <c r="H699" s="52" t="str">
        <f>IF((C708-D708)&gt;(C717-D717),"LONG",IF(C717&gt;D715,"LONG","SHORT"))</f>
        <v>LONG</v>
      </c>
      <c r="I699" s="138" t="s">
        <v>92</v>
      </c>
      <c r="J699" s="139"/>
      <c r="K699" s="140"/>
      <c r="L699" s="53">
        <f>AVERAGE(L700:L701)</f>
        <v>291.27499999999998</v>
      </c>
      <c r="Q699" s="54">
        <v>0.39166666666666666</v>
      </c>
      <c r="R699" s="54">
        <v>0.39861111111111108</v>
      </c>
      <c r="S699" s="54">
        <v>0.4055555555555555</v>
      </c>
      <c r="T699" s="54">
        <v>0.41250000000000003</v>
      </c>
      <c r="U699" s="55"/>
      <c r="W699" s="34" t="s">
        <v>68</v>
      </c>
      <c r="X699" s="56" t="s">
        <v>69</v>
      </c>
      <c r="Y699" s="57" t="s">
        <v>70</v>
      </c>
    </row>
    <row r="700" spans="2:25" x14ac:dyDescent="0.3">
      <c r="B700" s="50">
        <v>13752</v>
      </c>
      <c r="C700" s="40"/>
      <c r="D700" s="58"/>
      <c r="E700" s="59">
        <f>ROUND((((B700*F700%)/4)/10),0)*10</f>
        <v>50</v>
      </c>
      <c r="F700" s="51">
        <v>1.41</v>
      </c>
      <c r="H700" s="60" t="s">
        <v>69</v>
      </c>
      <c r="I700" s="61">
        <f>AVERAGE(C717,C706)</f>
        <v>237.05</v>
      </c>
      <c r="J700" s="61">
        <f>AVERAGE(C717,C707)</f>
        <v>208</v>
      </c>
      <c r="K700" s="61">
        <f>AVERAGE(C717,C708)</f>
        <v>183.125</v>
      </c>
      <c r="L700" s="61">
        <f>C706</f>
        <v>277.10000000000002</v>
      </c>
      <c r="Q700" s="51">
        <v>13752.6</v>
      </c>
      <c r="R700" s="51">
        <v>13737</v>
      </c>
      <c r="S700" s="51">
        <v>13717.9</v>
      </c>
      <c r="T700" s="51">
        <v>13743.7</v>
      </c>
      <c r="U700" s="62"/>
      <c r="W700" s="63">
        <v>0.41597222222222219</v>
      </c>
      <c r="X700" s="30">
        <v>169.25</v>
      </c>
      <c r="Y700" s="30">
        <v>197</v>
      </c>
    </row>
    <row r="701" spans="2:25" x14ac:dyDescent="0.3">
      <c r="B701" s="40"/>
      <c r="C701" s="50">
        <f>B700-E700</f>
        <v>13702</v>
      </c>
      <c r="D701" s="51">
        <f>C701-E700</f>
        <v>13652</v>
      </c>
      <c r="E701" s="21"/>
      <c r="F701" s="21"/>
      <c r="H701" s="60" t="s">
        <v>70</v>
      </c>
      <c r="I701" s="61">
        <f>AVERAGE(C708,C715)</f>
        <v>237.35</v>
      </c>
      <c r="J701" s="61">
        <f>AVERAGE(C708,C716)</f>
        <v>207.7</v>
      </c>
      <c r="K701" s="61">
        <f>AVERAGE(C708,C717)</f>
        <v>183.125</v>
      </c>
      <c r="L701" s="61">
        <f>C715</f>
        <v>305.45</v>
      </c>
      <c r="W701" s="63">
        <v>0.4368055555555555</v>
      </c>
      <c r="X701" s="30">
        <v>167.15</v>
      </c>
      <c r="Y701" s="30">
        <v>187</v>
      </c>
    </row>
    <row r="702" spans="2:25" x14ac:dyDescent="0.3">
      <c r="F702" s="40"/>
      <c r="G702" s="40"/>
      <c r="K702" s="40"/>
      <c r="W702" s="63">
        <v>0.45763888888888887</v>
      </c>
      <c r="X702" s="30">
        <v>193.15</v>
      </c>
      <c r="Y702" s="30">
        <v>165.15</v>
      </c>
    </row>
    <row r="703" spans="2:25" x14ac:dyDescent="0.3">
      <c r="B703" s="40"/>
      <c r="W703" s="63">
        <v>0.47847222222222219</v>
      </c>
      <c r="X703" s="30">
        <v>223.15</v>
      </c>
      <c r="Y703" s="30">
        <v>130.15</v>
      </c>
    </row>
    <row r="704" spans="2:25" x14ac:dyDescent="0.3">
      <c r="C704" s="64">
        <v>44228</v>
      </c>
      <c r="F704" s="30">
        <f>AVERAGE(F706,F715)</f>
        <v>13729.400000000001</v>
      </c>
      <c r="G704" s="65"/>
      <c r="H704" s="66">
        <v>0.47291666666666665</v>
      </c>
      <c r="I704" s="66">
        <v>0.49236111111111108</v>
      </c>
      <c r="J704" s="66">
        <v>0.50972222222222219</v>
      </c>
      <c r="K704" s="66">
        <v>0.53819444444444442</v>
      </c>
      <c r="L704" s="67">
        <v>8.3333333333333329E-2</v>
      </c>
      <c r="M704" s="63">
        <v>0.13541666666666666</v>
      </c>
      <c r="Q704" s="132" t="s">
        <v>71</v>
      </c>
      <c r="R704" s="132"/>
      <c r="S704" s="132" t="s">
        <v>37</v>
      </c>
      <c r="T704" s="132"/>
      <c r="U704" s="69"/>
      <c r="W704" s="63">
        <v>0.4993055555555555</v>
      </c>
      <c r="X704" s="30">
        <v>231.25</v>
      </c>
      <c r="Y704" s="30">
        <v>121.15</v>
      </c>
    </row>
    <row r="705" spans="2:25" x14ac:dyDescent="0.3">
      <c r="B705" s="34" t="s">
        <v>68</v>
      </c>
      <c r="C705" s="63">
        <v>0.41666666666666669</v>
      </c>
      <c r="D705" s="63">
        <v>0.40763888888888888</v>
      </c>
      <c r="H705" s="23">
        <v>123.5</v>
      </c>
      <c r="I705" s="7">
        <v>13943</v>
      </c>
      <c r="J705" s="23">
        <v>104.2</v>
      </c>
      <c r="K705" s="23">
        <v>162.19999999999999</v>
      </c>
      <c r="L705" s="7">
        <v>14205.45</v>
      </c>
      <c r="M705" s="7">
        <v>14334.5</v>
      </c>
      <c r="Q705" s="61">
        <f>R705-(S705-R705)</f>
        <v>13124.1</v>
      </c>
      <c r="R705" s="61">
        <v>13770</v>
      </c>
      <c r="S705" s="61">
        <v>14415.9</v>
      </c>
      <c r="T705" s="61">
        <f>S705+(S705-R705)</f>
        <v>15061.8</v>
      </c>
      <c r="U705" s="71"/>
      <c r="W705" s="63">
        <v>0.52013888888888882</v>
      </c>
      <c r="X705" s="30">
        <v>216.65</v>
      </c>
      <c r="Y705" s="30">
        <v>125.2</v>
      </c>
    </row>
    <row r="706" spans="2:25" x14ac:dyDescent="0.3">
      <c r="B706" s="26">
        <f>B707-100</f>
        <v>13600</v>
      </c>
      <c r="C706" s="30">
        <v>277.10000000000002</v>
      </c>
      <c r="D706" s="30">
        <v>249.45</v>
      </c>
      <c r="E706" s="40"/>
      <c r="F706" s="30">
        <f t="shared" ref="F706:F711" si="42">B706+D706</f>
        <v>13849.45</v>
      </c>
      <c r="H706" s="7">
        <v>334.55</v>
      </c>
      <c r="I706" s="7">
        <v>390.5</v>
      </c>
      <c r="J706" s="7">
        <v>312.64999999999998</v>
      </c>
      <c r="K706" s="7">
        <v>484.95</v>
      </c>
      <c r="L706" s="7">
        <v>592.54999999999995</v>
      </c>
      <c r="M706" s="7">
        <v>698</v>
      </c>
      <c r="S706" s="40"/>
      <c r="W706" s="63">
        <v>0.54097222222222219</v>
      </c>
      <c r="X706" s="30">
        <v>360</v>
      </c>
      <c r="Y706" s="30">
        <v>55.6</v>
      </c>
    </row>
    <row r="707" spans="2:25" x14ac:dyDescent="0.3">
      <c r="B707" s="26">
        <f>B708-100</f>
        <v>13700</v>
      </c>
      <c r="C707" s="30">
        <v>219</v>
      </c>
      <c r="D707" s="30">
        <v>196.5</v>
      </c>
      <c r="E707" s="40"/>
      <c r="F707" s="30">
        <f t="shared" si="42"/>
        <v>13896.5</v>
      </c>
      <c r="H707" s="7">
        <v>267.64999999999998</v>
      </c>
      <c r="I707" s="7">
        <v>315.75</v>
      </c>
      <c r="J707" s="7">
        <v>247.85</v>
      </c>
      <c r="K707" s="7">
        <v>402.1</v>
      </c>
      <c r="L707" s="7">
        <v>500.8</v>
      </c>
      <c r="M707" s="7">
        <v>609.9</v>
      </c>
      <c r="W707" s="63">
        <v>6.1805555555555558E-2</v>
      </c>
      <c r="X707" s="30">
        <v>405</v>
      </c>
      <c r="Y707" s="30">
        <v>38</v>
      </c>
    </row>
    <row r="708" spans="2:25" x14ac:dyDescent="0.3">
      <c r="B708" s="26">
        <v>13800</v>
      </c>
      <c r="C708" s="30">
        <v>169.25</v>
      </c>
      <c r="D708" s="30">
        <v>150.9</v>
      </c>
      <c r="E708" s="40"/>
      <c r="F708" s="30">
        <f t="shared" si="42"/>
        <v>13950.9</v>
      </c>
      <c r="H708" s="7">
        <v>209.6</v>
      </c>
      <c r="I708" s="7">
        <v>247.5</v>
      </c>
      <c r="J708" s="7">
        <v>188.2</v>
      </c>
      <c r="K708" s="7">
        <v>321</v>
      </c>
      <c r="L708" s="7">
        <v>409</v>
      </c>
      <c r="M708" s="7">
        <v>505.65</v>
      </c>
      <c r="W708" s="63">
        <v>8.2638888888888887E-2</v>
      </c>
      <c r="X708" s="30">
        <v>409</v>
      </c>
      <c r="Y708" s="30">
        <v>29.6</v>
      </c>
    </row>
    <row r="709" spans="2:25" x14ac:dyDescent="0.3">
      <c r="B709" s="26">
        <f>B708+100</f>
        <v>13900</v>
      </c>
      <c r="C709" s="30">
        <v>127.45</v>
      </c>
      <c r="D709" s="23">
        <v>112.5</v>
      </c>
      <c r="E709" s="40"/>
      <c r="F709" s="50">
        <f t="shared" si="42"/>
        <v>14012.5</v>
      </c>
      <c r="H709" s="7">
        <v>158.85</v>
      </c>
      <c r="I709" s="7">
        <v>187.6</v>
      </c>
      <c r="J709" s="7">
        <v>138.55000000000001</v>
      </c>
      <c r="K709" s="7">
        <v>249.65</v>
      </c>
      <c r="L709" s="7">
        <v>326.95</v>
      </c>
      <c r="M709" s="7">
        <v>409.95</v>
      </c>
    </row>
    <row r="710" spans="2:25" x14ac:dyDescent="0.3">
      <c r="B710" s="72">
        <f>B709+100</f>
        <v>14000</v>
      </c>
      <c r="C710" s="51">
        <v>93</v>
      </c>
      <c r="D710" s="30">
        <v>80.95</v>
      </c>
      <c r="E710" s="40"/>
      <c r="F710" s="30">
        <f t="shared" si="42"/>
        <v>14080.95</v>
      </c>
      <c r="H710" s="7">
        <v>115.5</v>
      </c>
      <c r="I710" s="7">
        <v>136.15</v>
      </c>
      <c r="J710" s="7">
        <v>97.35</v>
      </c>
      <c r="K710" s="7">
        <v>186.85</v>
      </c>
      <c r="L710" s="7">
        <v>250.3</v>
      </c>
      <c r="M710" s="7">
        <v>327</v>
      </c>
      <c r="Q710" s="133" t="s">
        <v>72</v>
      </c>
      <c r="R710" s="134"/>
      <c r="S710" s="135"/>
      <c r="W710" s="34" t="s">
        <v>68</v>
      </c>
      <c r="X710" s="56" t="s">
        <v>69</v>
      </c>
      <c r="Y710" s="57" t="s">
        <v>70</v>
      </c>
    </row>
    <row r="711" spans="2:25" x14ac:dyDescent="0.3">
      <c r="B711" s="26">
        <f>B710+100</f>
        <v>14100</v>
      </c>
      <c r="C711" s="30">
        <v>65.599999999999994</v>
      </c>
      <c r="D711" s="30">
        <v>56.3</v>
      </c>
      <c r="E711" s="40"/>
      <c r="F711" s="30">
        <f t="shared" si="42"/>
        <v>14156.3</v>
      </c>
      <c r="H711" s="7">
        <v>81.25</v>
      </c>
      <c r="I711" s="7">
        <v>95.45</v>
      </c>
      <c r="J711" s="7">
        <v>64.95</v>
      </c>
      <c r="K711" s="7">
        <v>134.19999999999999</v>
      </c>
      <c r="L711" s="7">
        <v>185.7</v>
      </c>
      <c r="M711" s="7">
        <v>246.3</v>
      </c>
      <c r="Q711" s="30">
        <v>115.5</v>
      </c>
      <c r="R711" s="73">
        <v>75</v>
      </c>
      <c r="S711" s="30">
        <f>R711*Q711</f>
        <v>8662.5</v>
      </c>
      <c r="W711" s="63">
        <v>0.41597222222222219</v>
      </c>
      <c r="X711" s="30">
        <v>93</v>
      </c>
      <c r="Y711" s="30">
        <v>119.7</v>
      </c>
    </row>
    <row r="712" spans="2:25" x14ac:dyDescent="0.3">
      <c r="E712" s="40">
        <f>F712-(G712-F712)</f>
        <v>84.950000000000017</v>
      </c>
      <c r="F712" s="40">
        <f>AVERAGE(C709,C719)</f>
        <v>123.575</v>
      </c>
      <c r="G712" s="40">
        <f>AVERAGE(C708,C718)</f>
        <v>162.19999999999999</v>
      </c>
      <c r="H712" s="17"/>
      <c r="I712" s="17"/>
      <c r="J712" s="17"/>
      <c r="K712" s="76"/>
      <c r="L712" s="17"/>
      <c r="M712" s="17"/>
      <c r="Q712" s="30">
        <v>115.5</v>
      </c>
      <c r="R712" s="73">
        <v>75</v>
      </c>
      <c r="S712" s="30">
        <f>R712*Q712</f>
        <v>8662.5</v>
      </c>
      <c r="W712" s="63">
        <v>0.4368055555555555</v>
      </c>
      <c r="X712" s="30">
        <v>88.35</v>
      </c>
      <c r="Y712" s="30">
        <v>114.85</v>
      </c>
    </row>
    <row r="713" spans="2:25" x14ac:dyDescent="0.3">
      <c r="C713" s="64">
        <v>43865</v>
      </c>
      <c r="E713" s="40"/>
      <c r="F713" s="40">
        <f>AVERAGE(E712,F712)</f>
        <v>104.26250000000002</v>
      </c>
      <c r="G713" s="40"/>
      <c r="H713" s="66">
        <v>0.47291666666666665</v>
      </c>
      <c r="I713" s="66">
        <v>0.49236111111111108</v>
      </c>
      <c r="J713" s="66">
        <v>0.50972222222222219</v>
      </c>
      <c r="K713" s="66">
        <v>0.53819444444444442</v>
      </c>
      <c r="L713" s="66">
        <v>8.3333333333333329E-2</v>
      </c>
      <c r="M713" s="63">
        <v>0.13541666666666666</v>
      </c>
      <c r="Q713" s="30"/>
      <c r="R713" s="73"/>
      <c r="S713" s="30">
        <f>R713*Q713</f>
        <v>0</v>
      </c>
      <c r="W713" s="63">
        <v>0.45763888888888887</v>
      </c>
      <c r="X713" s="30">
        <v>105.95</v>
      </c>
      <c r="Y713" s="30">
        <v>98.6</v>
      </c>
    </row>
    <row r="714" spans="2:25" x14ac:dyDescent="0.3">
      <c r="B714" s="34" t="s">
        <v>68</v>
      </c>
      <c r="C714" s="63">
        <v>0.41666666666666669</v>
      </c>
      <c r="D714" s="63">
        <v>0.38750000000000001</v>
      </c>
      <c r="E714" s="40">
        <f>F714-(G714-F714)</f>
        <v>99.475000000000023</v>
      </c>
      <c r="F714" s="40">
        <f>AVERAGE(C718,C709)</f>
        <v>141.30000000000001</v>
      </c>
      <c r="G714" s="40">
        <f>AVERAGE(C717,C708)</f>
        <v>183.125</v>
      </c>
      <c r="H714" s="7">
        <v>13850.4</v>
      </c>
      <c r="I714" s="23">
        <v>65.45</v>
      </c>
      <c r="J714" s="7">
        <v>13837.45</v>
      </c>
      <c r="K714" s="7">
        <v>14077.9</v>
      </c>
      <c r="L714" s="7">
        <v>14205.45</v>
      </c>
      <c r="M714" s="7">
        <v>14334.5</v>
      </c>
      <c r="Q714" s="30">
        <f>S714/R714</f>
        <v>115.5</v>
      </c>
      <c r="R714" s="73">
        <f>SUM(R711:R713)</f>
        <v>150</v>
      </c>
      <c r="S714" s="30">
        <f>SUM(S711:S713)</f>
        <v>17325</v>
      </c>
      <c r="V714" s="40"/>
      <c r="W714" s="63">
        <v>0.47847222222222219</v>
      </c>
      <c r="X714" s="30">
        <v>123</v>
      </c>
      <c r="Y714" s="30">
        <v>75.349999999999994</v>
      </c>
    </row>
    <row r="715" spans="2:25" x14ac:dyDescent="0.3">
      <c r="B715" s="26">
        <f>B716+100</f>
        <v>13900</v>
      </c>
      <c r="C715" s="30">
        <v>305.45</v>
      </c>
      <c r="D715" s="30">
        <v>290.64999999999998</v>
      </c>
      <c r="E715" s="40"/>
      <c r="F715" s="30">
        <f t="shared" ref="F715:F720" si="43">B715-D715</f>
        <v>13609.35</v>
      </c>
      <c r="H715" s="7">
        <v>237.6</v>
      </c>
      <c r="I715" s="7">
        <v>181.35</v>
      </c>
      <c r="J715" s="7">
        <v>238.85</v>
      </c>
      <c r="K715" s="7">
        <v>106.05</v>
      </c>
      <c r="L715" s="7">
        <v>54.9</v>
      </c>
      <c r="M715" s="7">
        <v>27.05</v>
      </c>
      <c r="P715" s="50">
        <f>S720</f>
        <v>7005</v>
      </c>
      <c r="Q715" s="57" t="s">
        <v>72</v>
      </c>
      <c r="S715" s="57" t="s">
        <v>73</v>
      </c>
      <c r="T715" s="23">
        <f>((X712+Y712)-(X720+Y720))</f>
        <v>14.25</v>
      </c>
      <c r="U715" s="23"/>
      <c r="V715" s="50">
        <f>T715*225</f>
        <v>3206.25</v>
      </c>
      <c r="W715" s="63">
        <v>0.4993055555555555</v>
      </c>
      <c r="X715" s="30">
        <v>125.4</v>
      </c>
      <c r="Y715" s="30">
        <v>70.650000000000006</v>
      </c>
    </row>
    <row r="716" spans="2:25" x14ac:dyDescent="0.3">
      <c r="B716" s="26">
        <f>B717+100</f>
        <v>13800</v>
      </c>
      <c r="C716" s="30">
        <v>246.15</v>
      </c>
      <c r="D716" s="30">
        <v>237.5</v>
      </c>
      <c r="E716" s="40"/>
      <c r="F716" s="30">
        <f t="shared" si="43"/>
        <v>13562.5</v>
      </c>
      <c r="H716" s="7">
        <v>187.3</v>
      </c>
      <c r="I716" s="7">
        <v>140.85</v>
      </c>
      <c r="J716" s="7">
        <v>188.2</v>
      </c>
      <c r="K716" s="7">
        <v>77.599999999999994</v>
      </c>
      <c r="L716" s="7">
        <v>38.950000000000003</v>
      </c>
      <c r="M716" s="7">
        <v>20.100000000000001</v>
      </c>
      <c r="Q716" s="30">
        <v>162.19999999999999</v>
      </c>
      <c r="R716" s="73">
        <v>75</v>
      </c>
      <c r="S716" s="30">
        <f>R716*Q716</f>
        <v>12165</v>
      </c>
      <c r="W716" s="63">
        <v>0.52013888888888882</v>
      </c>
      <c r="X716" s="30">
        <v>116.25</v>
      </c>
      <c r="Y716" s="30">
        <v>73</v>
      </c>
    </row>
    <row r="717" spans="2:25" x14ac:dyDescent="0.3">
      <c r="B717" s="26">
        <v>13700</v>
      </c>
      <c r="C717" s="30">
        <v>197</v>
      </c>
      <c r="D717" s="7">
        <v>190.15</v>
      </c>
      <c r="E717" s="40"/>
      <c r="F717" s="30">
        <f t="shared" si="43"/>
        <v>13509.85</v>
      </c>
      <c r="H717" s="7">
        <v>146.55000000000001</v>
      </c>
      <c r="I717" s="7">
        <v>108.8</v>
      </c>
      <c r="J717" s="7">
        <v>147.80000000000001</v>
      </c>
      <c r="K717" s="7">
        <v>56.4</v>
      </c>
      <c r="L717" s="7">
        <v>29.6</v>
      </c>
      <c r="M717" s="7">
        <v>15.9</v>
      </c>
      <c r="Q717" s="30">
        <v>162.19999999999999</v>
      </c>
      <c r="R717" s="73">
        <v>75</v>
      </c>
      <c r="S717" s="30">
        <f>R717*Q717</f>
        <v>12165</v>
      </c>
      <c r="T717" s="40"/>
      <c r="U717" s="40"/>
      <c r="V717" s="40"/>
      <c r="W717" s="63">
        <v>0.54097222222222219</v>
      </c>
      <c r="X717" s="30">
        <v>214.75</v>
      </c>
      <c r="Y717" s="30">
        <v>34.299999999999997</v>
      </c>
    </row>
    <row r="718" spans="2:25" x14ac:dyDescent="0.3">
      <c r="B718" s="26">
        <f>B717-100</f>
        <v>13600</v>
      </c>
      <c r="C718" s="30">
        <v>155.15</v>
      </c>
      <c r="D718" s="23">
        <v>151.80000000000001</v>
      </c>
      <c r="E718" s="40"/>
      <c r="F718" s="50">
        <f t="shared" si="43"/>
        <v>13448.2</v>
      </c>
      <c r="H718" s="7">
        <v>114.35</v>
      </c>
      <c r="I718" s="7">
        <v>83.35</v>
      </c>
      <c r="J718" s="7">
        <v>115.05</v>
      </c>
      <c r="K718" s="7">
        <v>40.950000000000003</v>
      </c>
      <c r="L718" s="7">
        <v>23.45</v>
      </c>
      <c r="M718" s="7">
        <v>12.9</v>
      </c>
      <c r="Q718" s="30"/>
      <c r="R718" s="73"/>
      <c r="S718" s="30">
        <f>R718*Q718</f>
        <v>0</v>
      </c>
      <c r="T718" s="40"/>
      <c r="U718" s="40"/>
      <c r="V718" s="40"/>
      <c r="W718" s="63">
        <v>6.1805555555555558E-2</v>
      </c>
      <c r="X718" s="30">
        <v>249.9</v>
      </c>
      <c r="Y718" s="30">
        <v>24.7</v>
      </c>
    </row>
    <row r="719" spans="2:25" x14ac:dyDescent="0.3">
      <c r="B719" s="72">
        <f>B718-100</f>
        <v>13500</v>
      </c>
      <c r="C719" s="51">
        <v>119.7</v>
      </c>
      <c r="D719" s="7">
        <v>118.4</v>
      </c>
      <c r="E719" s="40"/>
      <c r="F719" s="30">
        <f t="shared" si="43"/>
        <v>13381.6</v>
      </c>
      <c r="H719" s="7">
        <v>86.75</v>
      </c>
      <c r="I719" s="7">
        <v>63.7</v>
      </c>
      <c r="J719" s="7">
        <v>87.8</v>
      </c>
      <c r="K719" s="7">
        <v>30.9</v>
      </c>
      <c r="L719" s="7">
        <v>19</v>
      </c>
      <c r="M719" s="7">
        <v>10.7</v>
      </c>
      <c r="Q719" s="30">
        <f>S719/R719</f>
        <v>162.19999999999999</v>
      </c>
      <c r="R719" s="73">
        <f>SUM(R716:R718)</f>
        <v>150</v>
      </c>
      <c r="S719" s="30">
        <f>SUM(S716:S718)</f>
        <v>24330</v>
      </c>
      <c r="W719" s="63">
        <v>8.2638888888888887E-2</v>
      </c>
      <c r="X719" s="30">
        <v>250.3</v>
      </c>
      <c r="Y719" s="30">
        <v>19</v>
      </c>
    </row>
    <row r="720" spans="2:25" x14ac:dyDescent="0.3">
      <c r="B720" s="26">
        <f>B719-100</f>
        <v>13400</v>
      </c>
      <c r="C720" s="30">
        <v>91.55</v>
      </c>
      <c r="D720" s="30">
        <v>91.85</v>
      </c>
      <c r="E720" s="40"/>
      <c r="F720" s="30">
        <f t="shared" si="43"/>
        <v>13308.15</v>
      </c>
      <c r="H720" s="7">
        <v>65.45</v>
      </c>
      <c r="I720" s="7">
        <v>48.25</v>
      </c>
      <c r="J720" s="7">
        <v>67.8</v>
      </c>
      <c r="K720" s="7">
        <v>22.75</v>
      </c>
      <c r="L720" s="7">
        <v>15.2</v>
      </c>
      <c r="M720" s="7">
        <v>8.8000000000000007</v>
      </c>
      <c r="Q720" s="136" t="e">
        <f>S720/(R714-R719)</f>
        <v>#DIV/0!</v>
      </c>
      <c r="R720" s="137"/>
      <c r="S720" s="30">
        <f>S719-S714</f>
        <v>7005</v>
      </c>
      <c r="W720" s="63">
        <v>0.47291666666666665</v>
      </c>
      <c r="X720" s="23">
        <v>123.5</v>
      </c>
      <c r="Y720" s="30">
        <v>65.45</v>
      </c>
    </row>
    <row r="732" spans="2:25" x14ac:dyDescent="0.3">
      <c r="B732" s="40"/>
      <c r="C732" s="50">
        <f>B733+E733</f>
        <v>14815.8</v>
      </c>
      <c r="D732" s="51">
        <f>C732+E733</f>
        <v>14875.8</v>
      </c>
      <c r="E732" s="21"/>
      <c r="F732" s="21"/>
      <c r="H732" s="52" t="str">
        <f>IF((C741-D741)&gt;(C750-D750),"LONG",IF(C750&gt;D748,"LONG","SHORT"))</f>
        <v>LONG</v>
      </c>
      <c r="I732" s="138" t="s">
        <v>93</v>
      </c>
      <c r="J732" s="139"/>
      <c r="K732" s="140"/>
      <c r="L732" s="53">
        <f>AVERAGE(L733:L734)</f>
        <v>149</v>
      </c>
      <c r="Q732" s="54">
        <v>0.39166666666666666</v>
      </c>
      <c r="R732" s="54">
        <v>0.39861111111111108</v>
      </c>
      <c r="S732" s="54">
        <v>0.4055555555555555</v>
      </c>
      <c r="T732" s="54">
        <v>0.41250000000000003</v>
      </c>
      <c r="U732" s="55"/>
      <c r="W732" s="34" t="s">
        <v>68</v>
      </c>
      <c r="X732" s="56" t="s">
        <v>69</v>
      </c>
      <c r="Y732" s="57" t="s">
        <v>70</v>
      </c>
    </row>
    <row r="733" spans="2:25" x14ac:dyDescent="0.3">
      <c r="B733" s="50">
        <v>14755.8</v>
      </c>
      <c r="C733" s="40"/>
      <c r="D733" s="58"/>
      <c r="E733" s="59">
        <f>ROUND((((B733*F733%)/4)/10),0)*10</f>
        <v>60</v>
      </c>
      <c r="F733" s="51">
        <v>1.63</v>
      </c>
      <c r="H733" s="60" t="s">
        <v>69</v>
      </c>
      <c r="I733" s="61">
        <f>AVERAGE(C750,C739)</f>
        <v>122.15</v>
      </c>
      <c r="J733" s="61">
        <f>AVERAGE(C750,C740)</f>
        <v>109.72499999999999</v>
      </c>
      <c r="K733" s="61">
        <f>AVERAGE(C750,C741)</f>
        <v>98.9</v>
      </c>
      <c r="L733" s="61">
        <f>C739</f>
        <v>134</v>
      </c>
      <c r="Q733" s="51">
        <v>14614.1</v>
      </c>
      <c r="R733" s="51">
        <v>14719.65</v>
      </c>
      <c r="S733" s="51">
        <v>14680.75</v>
      </c>
      <c r="T733" s="51">
        <v>14703.45</v>
      </c>
      <c r="U733" s="62"/>
      <c r="W733" s="63">
        <v>0.41597222222222219</v>
      </c>
      <c r="X733" s="30">
        <v>87.5</v>
      </c>
      <c r="Y733" s="30">
        <v>110.3</v>
      </c>
    </row>
    <row r="734" spans="2:25" x14ac:dyDescent="0.3">
      <c r="B734" s="40"/>
      <c r="C734" s="50">
        <f>B733-E733</f>
        <v>14695.8</v>
      </c>
      <c r="D734" s="51">
        <f>C734-E733</f>
        <v>14635.8</v>
      </c>
      <c r="E734" s="21"/>
      <c r="F734" s="21"/>
      <c r="H734" s="60" t="s">
        <v>70</v>
      </c>
      <c r="I734" s="61">
        <f>AVERAGE(C741,C748)</f>
        <v>125.75</v>
      </c>
      <c r="J734" s="61">
        <f>AVERAGE(C741,C749)</f>
        <v>111.25</v>
      </c>
      <c r="K734" s="61">
        <f>AVERAGE(C741,C750)</f>
        <v>98.9</v>
      </c>
      <c r="L734" s="61">
        <f>C748</f>
        <v>164</v>
      </c>
      <c r="W734" s="63">
        <v>0.4368055555555555</v>
      </c>
      <c r="X734" s="30">
        <v>50.25</v>
      </c>
      <c r="Y734" s="30">
        <v>182.45</v>
      </c>
    </row>
    <row r="735" spans="2:25" x14ac:dyDescent="0.3">
      <c r="F735" s="40"/>
      <c r="G735" s="40"/>
      <c r="K735" s="40"/>
      <c r="Q735" s="141">
        <v>246000</v>
      </c>
      <c r="R735" s="142"/>
      <c r="S735" s="79">
        <f>Q735/4</f>
        <v>61500</v>
      </c>
      <c r="T735" s="79">
        <f>ROUND(((S735/88)/75)/3,0)*75</f>
        <v>225</v>
      </c>
      <c r="U735" s="80"/>
      <c r="W735" s="63">
        <v>0.45763888888888887</v>
      </c>
      <c r="X735" s="30">
        <v>48.1</v>
      </c>
      <c r="Y735" s="30">
        <v>183.5</v>
      </c>
    </row>
    <row r="736" spans="2:25" x14ac:dyDescent="0.3">
      <c r="B736" s="40"/>
      <c r="W736" s="63">
        <v>0.47847222222222219</v>
      </c>
      <c r="X736" s="30">
        <v>46</v>
      </c>
      <c r="Y736" s="30">
        <v>177.9</v>
      </c>
    </row>
    <row r="737" spans="2:25" x14ac:dyDescent="0.3">
      <c r="C737" s="64">
        <v>44229</v>
      </c>
      <c r="F737" s="30">
        <f>AVERAGE(F739,F748)</f>
        <v>14691.974999999999</v>
      </c>
      <c r="G737" s="65"/>
      <c r="H737" s="67">
        <v>0.4368055555555555</v>
      </c>
      <c r="I737" s="66">
        <v>0.44791666666666669</v>
      </c>
      <c r="J737" s="66">
        <v>6.9444444444444434E-2</v>
      </c>
      <c r="K737" s="66">
        <v>8.0555555555555561E-2</v>
      </c>
      <c r="L737" s="67">
        <v>8.3333333333333329E-2</v>
      </c>
      <c r="M737" s="63">
        <v>0.13541666666666666</v>
      </c>
      <c r="Q737" s="132" t="s">
        <v>71</v>
      </c>
      <c r="R737" s="132"/>
      <c r="S737" s="132" t="s">
        <v>37</v>
      </c>
      <c r="T737" s="132"/>
      <c r="U737" s="69"/>
      <c r="W737" s="63">
        <v>0.4993055555555555</v>
      </c>
      <c r="X737" s="30">
        <v>35.35</v>
      </c>
      <c r="Y737" s="30">
        <v>219.05</v>
      </c>
    </row>
    <row r="738" spans="2:25" x14ac:dyDescent="0.3">
      <c r="B738" s="34" t="s">
        <v>68</v>
      </c>
      <c r="C738" s="63">
        <v>0.41666666666666669</v>
      </c>
      <c r="D738" s="63">
        <v>0.38611111111111113</v>
      </c>
      <c r="H738" s="7"/>
      <c r="I738" s="23">
        <v>31.4</v>
      </c>
      <c r="J738" s="7">
        <v>14703.25</v>
      </c>
      <c r="K738" s="7">
        <v>14643</v>
      </c>
      <c r="L738" s="7">
        <v>14663.55</v>
      </c>
      <c r="M738" s="7">
        <v>14683.7</v>
      </c>
      <c r="Q738" s="61">
        <f>R738-(S738-R738)</f>
        <v>13368.5</v>
      </c>
      <c r="R738" s="61">
        <v>13770</v>
      </c>
      <c r="S738" s="61">
        <v>14171.5</v>
      </c>
      <c r="T738" s="61">
        <f>S738+(S738-R738)</f>
        <v>14573</v>
      </c>
      <c r="U738" s="71"/>
      <c r="W738" s="63">
        <v>0.52013888888888882</v>
      </c>
      <c r="X738" s="30">
        <v>41.4</v>
      </c>
      <c r="Y738" s="30">
        <v>184.1</v>
      </c>
    </row>
    <row r="739" spans="2:25" x14ac:dyDescent="0.3">
      <c r="B739" s="26">
        <f>B740-50</f>
        <v>14700</v>
      </c>
      <c r="C739" s="30">
        <v>134</v>
      </c>
      <c r="D739" s="30">
        <v>45.65</v>
      </c>
      <c r="E739" s="40"/>
      <c r="F739" s="30">
        <f t="shared" ref="F739:F744" si="44">B739+D739</f>
        <v>14745.65</v>
      </c>
      <c r="H739" s="7">
        <v>78.75</v>
      </c>
      <c r="I739" s="7">
        <v>60.6</v>
      </c>
      <c r="J739" s="7">
        <v>91.2</v>
      </c>
      <c r="K739" s="7">
        <v>69.3</v>
      </c>
      <c r="L739" s="7">
        <v>73.099999999999994</v>
      </c>
      <c r="M739" s="7">
        <v>77.25</v>
      </c>
      <c r="S739" s="40"/>
      <c r="W739" s="63">
        <v>0.54097222222222219</v>
      </c>
      <c r="X739" s="30">
        <v>40.549999999999997</v>
      </c>
      <c r="Y739" s="30">
        <v>184.55</v>
      </c>
    </row>
    <row r="740" spans="2:25" x14ac:dyDescent="0.3">
      <c r="B740" s="26">
        <f>B741-50</f>
        <v>14750</v>
      </c>
      <c r="C740" s="30">
        <v>109.15</v>
      </c>
      <c r="D740" s="7">
        <v>35.200000000000003</v>
      </c>
      <c r="E740" s="40"/>
      <c r="F740" s="30">
        <f t="shared" si="44"/>
        <v>14785.2</v>
      </c>
      <c r="H740" s="7">
        <v>63.45</v>
      </c>
      <c r="I740" s="7">
        <v>49</v>
      </c>
      <c r="J740" s="7">
        <v>71.099999999999994</v>
      </c>
      <c r="K740" s="7">
        <v>53.65</v>
      </c>
      <c r="L740" s="7">
        <v>56.05</v>
      </c>
      <c r="M740" s="7">
        <v>58.7</v>
      </c>
      <c r="W740" s="63">
        <v>6.1805555555555558E-2</v>
      </c>
      <c r="X740" s="30">
        <v>46.9</v>
      </c>
      <c r="Y740" s="30">
        <v>151.94999999999999</v>
      </c>
    </row>
    <row r="741" spans="2:25" x14ac:dyDescent="0.3">
      <c r="B741" s="26">
        <v>14800</v>
      </c>
      <c r="C741" s="30">
        <v>87.5</v>
      </c>
      <c r="D741" s="30">
        <v>26.75</v>
      </c>
      <c r="E741" s="40"/>
      <c r="F741" s="30">
        <f t="shared" si="44"/>
        <v>14826.75</v>
      </c>
      <c r="H741" s="7">
        <v>50.25</v>
      </c>
      <c r="I741" s="7">
        <v>38.799999999999997</v>
      </c>
      <c r="J741" s="7">
        <v>54.4</v>
      </c>
      <c r="K741" s="7">
        <v>40.950000000000003</v>
      </c>
      <c r="L741" s="7">
        <v>42.4</v>
      </c>
      <c r="M741" s="7">
        <v>43.9</v>
      </c>
      <c r="W741" s="63">
        <v>8.2638888888888887E-2</v>
      </c>
      <c r="X741" s="30">
        <v>42.4</v>
      </c>
      <c r="Y741" s="30">
        <v>147.55000000000001</v>
      </c>
    </row>
    <row r="742" spans="2:25" x14ac:dyDescent="0.3">
      <c r="B742" s="26">
        <f>B741+50</f>
        <v>14850</v>
      </c>
      <c r="C742" s="51">
        <v>69.3</v>
      </c>
      <c r="D742" s="30">
        <v>20.3</v>
      </c>
      <c r="E742" s="40"/>
      <c r="F742" s="50">
        <f t="shared" si="44"/>
        <v>14870.3</v>
      </c>
      <c r="H742" s="7">
        <v>40.35</v>
      </c>
      <c r="I742" s="7">
        <v>31.45</v>
      </c>
      <c r="J742" s="7">
        <v>40.799999999999997</v>
      </c>
      <c r="K742" s="7">
        <v>30.9</v>
      </c>
      <c r="L742" s="7">
        <v>32.15</v>
      </c>
      <c r="M742" s="7">
        <v>32.35</v>
      </c>
    </row>
    <row r="743" spans="2:25" x14ac:dyDescent="0.3">
      <c r="B743" s="72">
        <f>B742+50</f>
        <v>14900</v>
      </c>
      <c r="C743" s="30">
        <v>54.3</v>
      </c>
      <c r="D743" s="30">
        <v>15.3</v>
      </c>
      <c r="E743" s="40"/>
      <c r="F743" s="30">
        <f t="shared" si="44"/>
        <v>14915.3</v>
      </c>
      <c r="H743" s="7">
        <v>31.4</v>
      </c>
      <c r="I743" s="7">
        <v>25.05</v>
      </c>
      <c r="J743" s="7">
        <v>30.2</v>
      </c>
      <c r="K743" s="7">
        <v>23.4</v>
      </c>
      <c r="L743" s="7">
        <v>23.65</v>
      </c>
      <c r="M743" s="7">
        <v>23.75</v>
      </c>
      <c r="Q743" s="133" t="s">
        <v>72</v>
      </c>
      <c r="R743" s="134"/>
      <c r="S743" s="135"/>
      <c r="W743" s="34" t="s">
        <v>68</v>
      </c>
      <c r="X743" s="56" t="s">
        <v>69</v>
      </c>
      <c r="Y743" s="57" t="s">
        <v>70</v>
      </c>
    </row>
    <row r="744" spans="2:25" x14ac:dyDescent="0.3">
      <c r="B744" s="26">
        <f>B743+50</f>
        <v>14950</v>
      </c>
      <c r="C744" s="30">
        <v>41.75</v>
      </c>
      <c r="D744" s="30">
        <v>11.6</v>
      </c>
      <c r="E744" s="40"/>
      <c r="F744" s="30">
        <f t="shared" si="44"/>
        <v>14961.6</v>
      </c>
      <c r="H744" s="7">
        <v>25</v>
      </c>
      <c r="I744" s="7">
        <v>20.25</v>
      </c>
      <c r="J744" s="7">
        <v>22.1</v>
      </c>
      <c r="K744" s="7">
        <v>17.899999999999999</v>
      </c>
      <c r="L744" s="7">
        <v>17.55</v>
      </c>
      <c r="M744" s="7">
        <v>17.100000000000001</v>
      </c>
      <c r="Q744" s="30">
        <v>88</v>
      </c>
      <c r="R744" s="73">
        <v>75</v>
      </c>
      <c r="S744" s="30">
        <f>R744*Q744</f>
        <v>6600</v>
      </c>
      <c r="W744" s="63">
        <v>0.41597222222222219</v>
      </c>
      <c r="X744" s="30">
        <v>69.3</v>
      </c>
      <c r="Y744" s="30">
        <v>70</v>
      </c>
    </row>
    <row r="745" spans="2:25" x14ac:dyDescent="0.3">
      <c r="E745" s="40">
        <f>F745-(G745-F745)</f>
        <v>66.275000000000006</v>
      </c>
      <c r="F745" s="40">
        <f>AVERAGE(C741,C751)</f>
        <v>88</v>
      </c>
      <c r="G745" s="40">
        <f>AVERAGE(C740,C750)</f>
        <v>109.72499999999999</v>
      </c>
      <c r="H745" s="17"/>
      <c r="I745" s="76"/>
      <c r="J745" s="17"/>
      <c r="K745" s="76"/>
      <c r="L745" s="17"/>
      <c r="M745" s="17"/>
      <c r="Q745" s="30">
        <v>88</v>
      </c>
      <c r="R745" s="73">
        <v>75</v>
      </c>
      <c r="S745" s="30">
        <f>R745*Q745</f>
        <v>6600</v>
      </c>
      <c r="W745" s="63">
        <v>0.4368055555555555</v>
      </c>
      <c r="X745" s="30">
        <v>40.35</v>
      </c>
      <c r="Y745" s="30">
        <v>123</v>
      </c>
    </row>
    <row r="746" spans="2:25" x14ac:dyDescent="0.3">
      <c r="C746" s="64">
        <v>43865</v>
      </c>
      <c r="E746" s="40"/>
      <c r="F746" s="40">
        <f>AVERAGE(F747,E747)</f>
        <v>77.137500000000003</v>
      </c>
      <c r="G746" s="40"/>
      <c r="H746" s="66">
        <v>0.4368055555555555</v>
      </c>
      <c r="I746" s="66">
        <v>0.44791666666666669</v>
      </c>
      <c r="J746" s="66">
        <v>6.9444444444444434E-2</v>
      </c>
      <c r="K746" s="66">
        <v>8.0555555555555561E-2</v>
      </c>
      <c r="L746" s="63">
        <v>8.3333333333333329E-2</v>
      </c>
      <c r="M746" s="63">
        <v>0.13541666666666666</v>
      </c>
      <c r="Q746" s="30"/>
      <c r="R746" s="73"/>
      <c r="S746" s="30">
        <f>R746*Q746</f>
        <v>0</v>
      </c>
      <c r="W746" s="63">
        <v>0.45763888888888887</v>
      </c>
      <c r="X746" s="30">
        <v>38.5</v>
      </c>
      <c r="Y746" s="30">
        <v>124.45</v>
      </c>
    </row>
    <row r="747" spans="2:25" x14ac:dyDescent="0.3">
      <c r="B747" s="34" t="s">
        <v>68</v>
      </c>
      <c r="C747" s="63">
        <v>0.41666666666666669</v>
      </c>
      <c r="D747" s="63">
        <v>0.4152777777777778</v>
      </c>
      <c r="E747" s="40">
        <f>F747-(G747-F747)</f>
        <v>66.275000000000006</v>
      </c>
      <c r="F747" s="40">
        <f>AVERAGE(C751,C741)</f>
        <v>88</v>
      </c>
      <c r="G747" s="40">
        <f>AVERAGE(C750,C740)</f>
        <v>109.72499999999999</v>
      </c>
      <c r="H747" s="7"/>
      <c r="I747" s="7"/>
      <c r="J747" s="23">
        <v>77.099999999999994</v>
      </c>
      <c r="K747" s="23">
        <v>109.7</v>
      </c>
      <c r="L747" s="7">
        <v>14663.55</v>
      </c>
      <c r="M747" s="7">
        <v>14683.7</v>
      </c>
      <c r="Q747" s="30">
        <f>S747/R747</f>
        <v>88</v>
      </c>
      <c r="R747" s="73">
        <f>SUM(R744:R746)</f>
        <v>150</v>
      </c>
      <c r="S747" s="30">
        <f>SUM(S744:S746)</f>
        <v>13200</v>
      </c>
      <c r="V747" s="40"/>
      <c r="W747" s="63">
        <v>0.47847222222222219</v>
      </c>
      <c r="X747" s="30">
        <v>36.5</v>
      </c>
      <c r="Y747" s="30">
        <v>119.85</v>
      </c>
    </row>
    <row r="748" spans="2:25" x14ac:dyDescent="0.3">
      <c r="B748" s="26">
        <f>B749+50</f>
        <v>14800</v>
      </c>
      <c r="C748" s="30">
        <v>164</v>
      </c>
      <c r="D748" s="30">
        <v>161.69999999999999</v>
      </c>
      <c r="E748" s="40"/>
      <c r="F748" s="30">
        <f t="shared" ref="F748:F753" si="45">B748-D748</f>
        <v>14638.3</v>
      </c>
      <c r="H748" s="7">
        <v>253.35</v>
      </c>
      <c r="I748" s="7">
        <v>314.95</v>
      </c>
      <c r="J748" s="7">
        <v>190.35</v>
      </c>
      <c r="K748" s="7">
        <v>237.3</v>
      </c>
      <c r="L748" s="7">
        <v>217.15</v>
      </c>
      <c r="M748" s="7">
        <v>194</v>
      </c>
      <c r="P748" s="50">
        <f>S753</f>
        <v>1083.75</v>
      </c>
      <c r="Q748" s="57" t="s">
        <v>72</v>
      </c>
      <c r="S748" s="57" t="s">
        <v>73</v>
      </c>
      <c r="T748" s="23">
        <f>40.35-31.4</f>
        <v>8.9500000000000028</v>
      </c>
      <c r="U748" s="23"/>
      <c r="V748" s="50">
        <f>T748*225</f>
        <v>2013.7500000000007</v>
      </c>
      <c r="W748" s="63">
        <v>0.4993055555555555</v>
      </c>
      <c r="X748" s="30">
        <v>27.25</v>
      </c>
      <c r="Y748" s="30">
        <v>153.6</v>
      </c>
    </row>
    <row r="749" spans="2:25" x14ac:dyDescent="0.3">
      <c r="B749" s="26">
        <f>B750+50</f>
        <v>14750</v>
      </c>
      <c r="C749" s="30">
        <v>135</v>
      </c>
      <c r="D749" s="30">
        <v>133.19999999999999</v>
      </c>
      <c r="E749" s="40"/>
      <c r="F749" s="30">
        <f t="shared" si="45"/>
        <v>14616.8</v>
      </c>
      <c r="H749" s="7">
        <v>215.2</v>
      </c>
      <c r="I749" s="7">
        <v>273.55</v>
      </c>
      <c r="J749" s="7">
        <v>157.1</v>
      </c>
      <c r="K749" s="7">
        <v>199.05</v>
      </c>
      <c r="L749" s="7">
        <v>179.9</v>
      </c>
      <c r="M749" s="7">
        <v>161</v>
      </c>
      <c r="Q749" s="30">
        <v>109.7</v>
      </c>
      <c r="R749" s="73">
        <v>75</v>
      </c>
      <c r="S749" s="30">
        <f>R749*Q749</f>
        <v>8227.5</v>
      </c>
      <c r="W749" s="63">
        <v>0.52013888888888882</v>
      </c>
      <c r="X749" s="30">
        <v>32.15</v>
      </c>
      <c r="Y749" s="30">
        <v>123.65</v>
      </c>
    </row>
    <row r="750" spans="2:25" x14ac:dyDescent="0.3">
      <c r="B750" s="26">
        <v>14700</v>
      </c>
      <c r="C750" s="30">
        <v>110.3</v>
      </c>
      <c r="D750" s="7">
        <v>108.85</v>
      </c>
      <c r="E750" s="40"/>
      <c r="F750" s="30">
        <f t="shared" si="45"/>
        <v>14591.15</v>
      </c>
      <c r="H750" s="7">
        <v>182.45</v>
      </c>
      <c r="I750" s="7">
        <v>236.6</v>
      </c>
      <c r="J750" s="7">
        <v>127.8</v>
      </c>
      <c r="K750" s="7">
        <v>165</v>
      </c>
      <c r="L750" s="7">
        <v>147.55000000000001</v>
      </c>
      <c r="M750" s="7">
        <v>130.15</v>
      </c>
      <c r="Q750" s="30">
        <v>80.75</v>
      </c>
      <c r="R750" s="73">
        <v>75</v>
      </c>
      <c r="S750" s="30">
        <f>R750*Q750</f>
        <v>6056.25</v>
      </c>
      <c r="T750" s="40"/>
      <c r="U750" s="40"/>
      <c r="V750" s="40"/>
      <c r="W750" s="63">
        <v>0.54097222222222219</v>
      </c>
      <c r="X750" s="30">
        <v>31.05</v>
      </c>
      <c r="Y750" s="30">
        <v>123</v>
      </c>
    </row>
    <row r="751" spans="2:25" x14ac:dyDescent="0.3">
      <c r="B751" s="26">
        <f>B750-50</f>
        <v>14650</v>
      </c>
      <c r="C751" s="30">
        <v>88.5</v>
      </c>
      <c r="D751" s="23">
        <v>88.15</v>
      </c>
      <c r="E751" s="40"/>
      <c r="F751" s="50">
        <f t="shared" si="45"/>
        <v>14561.85</v>
      </c>
      <c r="H751" s="7">
        <v>150.4</v>
      </c>
      <c r="I751" s="7">
        <v>201.15</v>
      </c>
      <c r="J751" s="7">
        <v>101.5</v>
      </c>
      <c r="K751" s="7">
        <v>136.35</v>
      </c>
      <c r="L751" s="7">
        <v>118.65</v>
      </c>
      <c r="M751" s="7">
        <v>103.45</v>
      </c>
      <c r="Q751" s="30"/>
      <c r="R751" s="73"/>
      <c r="S751" s="30">
        <f>R751*Q751</f>
        <v>0</v>
      </c>
      <c r="T751" s="40"/>
      <c r="U751" s="40"/>
      <c r="V751" s="40"/>
      <c r="W751" s="63">
        <v>6.1805555555555558E-2</v>
      </c>
      <c r="X751" s="30">
        <v>35.75</v>
      </c>
      <c r="Y751" s="30">
        <v>98.65</v>
      </c>
    </row>
    <row r="752" spans="2:25" x14ac:dyDescent="0.3">
      <c r="B752" s="72">
        <f>B751-50</f>
        <v>14600</v>
      </c>
      <c r="C752" s="51">
        <v>70</v>
      </c>
      <c r="D752" s="7">
        <v>69.5</v>
      </c>
      <c r="E752" s="40"/>
      <c r="F752" s="30">
        <f t="shared" si="45"/>
        <v>14530.5</v>
      </c>
      <c r="H752" s="7">
        <v>123</v>
      </c>
      <c r="I752" s="7">
        <v>167.5</v>
      </c>
      <c r="J752" s="7">
        <v>79.8</v>
      </c>
      <c r="K752" s="7">
        <v>107.5</v>
      </c>
      <c r="L752" s="7">
        <v>93</v>
      </c>
      <c r="M752" s="7">
        <v>80.75</v>
      </c>
      <c r="Q752" s="30">
        <f>S752/R752</f>
        <v>95.224999999999994</v>
      </c>
      <c r="R752" s="73">
        <f>SUM(R749:R751)</f>
        <v>150</v>
      </c>
      <c r="S752" s="30">
        <f>SUM(S749:S751)</f>
        <v>14283.75</v>
      </c>
      <c r="W752" s="63">
        <v>8.2638888888888887E-2</v>
      </c>
      <c r="X752" s="30">
        <v>32.15</v>
      </c>
      <c r="Y752" s="30">
        <v>93</v>
      </c>
    </row>
    <row r="753" spans="2:25" x14ac:dyDescent="0.3">
      <c r="B753" s="26">
        <f>B752-50</f>
        <v>14550</v>
      </c>
      <c r="C753" s="30">
        <v>54.9</v>
      </c>
      <c r="D753" s="30">
        <v>55.3</v>
      </c>
      <c r="E753" s="40"/>
      <c r="F753" s="30">
        <f t="shared" si="45"/>
        <v>14494.7</v>
      </c>
      <c r="H753" s="7">
        <v>97.6</v>
      </c>
      <c r="I753" s="7">
        <v>138</v>
      </c>
      <c r="J753" s="7">
        <v>61.65</v>
      </c>
      <c r="K753" s="7">
        <v>85.1</v>
      </c>
      <c r="L753" s="7">
        <v>72.2</v>
      </c>
      <c r="M753" s="7">
        <v>61.75</v>
      </c>
      <c r="Q753" s="136" t="e">
        <f>S753/(R747-R752)</f>
        <v>#DIV/0!</v>
      </c>
      <c r="R753" s="137"/>
      <c r="S753" s="30">
        <f>S752-S747</f>
        <v>1083.75</v>
      </c>
      <c r="W753" s="63">
        <v>0.42222222222222222</v>
      </c>
      <c r="X753" s="30">
        <v>45.35</v>
      </c>
      <c r="Y753" s="23">
        <v>88</v>
      </c>
    </row>
    <row r="765" spans="2:25" x14ac:dyDescent="0.3">
      <c r="B765" s="40"/>
      <c r="C765" s="50">
        <f>B766+E766</f>
        <v>14823</v>
      </c>
      <c r="D765" s="51">
        <f>C765+E766</f>
        <v>14883</v>
      </c>
      <c r="E765" s="21"/>
      <c r="F765" s="21"/>
      <c r="H765" s="52" t="str">
        <f>IF((C774-D774)&gt;(C783-D783),"LONG",IF(C783&gt;D781,"LONG","SHORT"))</f>
        <v>LONG</v>
      </c>
      <c r="I765" s="138" t="s">
        <v>94</v>
      </c>
      <c r="J765" s="139"/>
      <c r="K765" s="140"/>
      <c r="L765" s="53">
        <f>AVERAGE(L766:L767)</f>
        <v>110.75</v>
      </c>
      <c r="Q765" s="54">
        <v>0.39166666666666666</v>
      </c>
      <c r="R765" s="54">
        <v>0.39861111111111108</v>
      </c>
      <c r="S765" s="54">
        <v>0.4055555555555555</v>
      </c>
      <c r="T765" s="54">
        <v>0.41250000000000003</v>
      </c>
      <c r="U765" s="55"/>
      <c r="W765" s="34" t="s">
        <v>68</v>
      </c>
      <c r="X765" s="56" t="s">
        <v>69</v>
      </c>
      <c r="Y765" s="57" t="s">
        <v>70</v>
      </c>
    </row>
    <row r="766" spans="2:25" x14ac:dyDescent="0.3">
      <c r="B766" s="50">
        <v>14763</v>
      </c>
      <c r="C766" s="40"/>
      <c r="D766" s="58"/>
      <c r="E766" s="59">
        <f>ROUND((((B766*F766%)/4)/10),0)*10</f>
        <v>60</v>
      </c>
      <c r="F766" s="51">
        <v>1.65</v>
      </c>
      <c r="H766" s="60" t="s">
        <v>69</v>
      </c>
      <c r="I766" s="61">
        <f>AVERAGE(C783,C772)</f>
        <v>85.424999999999997</v>
      </c>
      <c r="J766" s="61">
        <f>AVERAGE(C783,C773)</f>
        <v>71.574999999999989</v>
      </c>
      <c r="K766" s="61">
        <f>AVERAGE(C783,C774)</f>
        <v>60.424999999999997</v>
      </c>
      <c r="L766" s="61">
        <f>C772</f>
        <v>96.25</v>
      </c>
      <c r="Q766" s="51"/>
      <c r="R766" s="51">
        <v>14719.2</v>
      </c>
      <c r="S766" s="51">
        <v>14735.3</v>
      </c>
      <c r="T766" s="51">
        <v>14733.4</v>
      </c>
      <c r="U766" s="62"/>
      <c r="W766" s="63">
        <v>0.41597222222222219</v>
      </c>
      <c r="X766" s="30">
        <v>46.25</v>
      </c>
      <c r="Y766" s="30">
        <v>74.599999999999994</v>
      </c>
    </row>
    <row r="767" spans="2:25" x14ac:dyDescent="0.3">
      <c r="B767" s="40"/>
      <c r="C767" s="50">
        <f>B766-E766</f>
        <v>14703</v>
      </c>
      <c r="D767" s="51">
        <f>C767-E766</f>
        <v>14643</v>
      </c>
      <c r="E767" s="21"/>
      <c r="F767" s="21"/>
      <c r="H767" s="60" t="s">
        <v>70</v>
      </c>
      <c r="I767" s="61">
        <f>AVERAGE(C774,C781)</f>
        <v>85.75</v>
      </c>
      <c r="J767" s="61">
        <f>AVERAGE(C774,C782)</f>
        <v>71.525000000000006</v>
      </c>
      <c r="K767" s="61">
        <f>AVERAGE(C774,C783)</f>
        <v>60.424999999999997</v>
      </c>
      <c r="L767" s="61">
        <f>C781</f>
        <v>125.25</v>
      </c>
      <c r="W767" s="63">
        <v>0.4368055555555555</v>
      </c>
      <c r="X767" s="30">
        <v>70.900000000000006</v>
      </c>
      <c r="Y767" s="30">
        <v>50.7</v>
      </c>
    </row>
    <row r="768" spans="2:25" x14ac:dyDescent="0.3">
      <c r="F768" s="40"/>
      <c r="G768" s="40"/>
      <c r="K768" s="40"/>
      <c r="Q768" s="141">
        <v>268000</v>
      </c>
      <c r="R768" s="142"/>
      <c r="S768" s="79">
        <f>Q768/4</f>
        <v>67000</v>
      </c>
      <c r="T768" s="79">
        <f>ROUND(((S768/45)/75)/3,0)*75</f>
        <v>525</v>
      </c>
      <c r="U768" s="80"/>
      <c r="W768" s="63">
        <v>0.45763888888888887</v>
      </c>
      <c r="X768" s="30">
        <v>81.599999999999994</v>
      </c>
      <c r="Y768" s="30">
        <v>49.1</v>
      </c>
    </row>
    <row r="769" spans="2:25" x14ac:dyDescent="0.3">
      <c r="B769" s="40"/>
      <c r="W769" s="63">
        <v>0.47847222222222219</v>
      </c>
      <c r="X769" s="30">
        <v>83.4</v>
      </c>
      <c r="Y769" s="30">
        <v>44.45</v>
      </c>
    </row>
    <row r="770" spans="2:25" x14ac:dyDescent="0.3">
      <c r="C770" s="64">
        <v>44230</v>
      </c>
      <c r="F770" s="30">
        <f>AVERAGE(F772,F781)</f>
        <v>14717.875</v>
      </c>
      <c r="G770" s="65"/>
      <c r="H770" s="66">
        <v>0.4368055555555555</v>
      </c>
      <c r="I770" s="66">
        <v>0.51041666666666663</v>
      </c>
      <c r="J770" s="63">
        <v>0.13125000000000001</v>
      </c>
      <c r="K770" s="63"/>
      <c r="L770" s="66">
        <v>8.3333333333333329E-2</v>
      </c>
      <c r="M770" s="66">
        <v>0.13541666666666666</v>
      </c>
      <c r="Q770" s="132" t="s">
        <v>71</v>
      </c>
      <c r="R770" s="132"/>
      <c r="S770" s="132" t="s">
        <v>37</v>
      </c>
      <c r="T770" s="132"/>
      <c r="U770" s="69"/>
      <c r="W770" s="63">
        <v>0.4993055555555555</v>
      </c>
      <c r="X770" s="30">
        <v>79.599999999999994</v>
      </c>
      <c r="Y770" s="30">
        <v>44.95</v>
      </c>
    </row>
    <row r="771" spans="2:25" x14ac:dyDescent="0.3">
      <c r="B771" s="34" t="s">
        <v>68</v>
      </c>
      <c r="C771" s="63">
        <v>0.41666666666666669</v>
      </c>
      <c r="D771" s="63">
        <v>0.3888888888888889</v>
      </c>
      <c r="H771" s="7">
        <v>14815</v>
      </c>
      <c r="I771" s="7">
        <v>14852.8</v>
      </c>
      <c r="J771" s="23">
        <v>36</v>
      </c>
      <c r="K771" s="23"/>
      <c r="L771" s="7">
        <v>14884.5</v>
      </c>
      <c r="M771" s="7">
        <v>14823.65</v>
      </c>
      <c r="Q771" s="61">
        <f>R771-(S771-R771)</f>
        <v>13368.5</v>
      </c>
      <c r="R771" s="61">
        <v>13770</v>
      </c>
      <c r="S771" s="61">
        <v>14171.5</v>
      </c>
      <c r="T771" s="61">
        <f>S771+(S771-R771)</f>
        <v>14573</v>
      </c>
      <c r="U771" s="71"/>
      <c r="W771" s="63">
        <v>0.52013888888888882</v>
      </c>
      <c r="X771" s="30">
        <v>88</v>
      </c>
      <c r="Y771" s="30">
        <v>38.75</v>
      </c>
    </row>
    <row r="772" spans="2:25" x14ac:dyDescent="0.3">
      <c r="B772" s="26">
        <f>B773-50</f>
        <v>14700</v>
      </c>
      <c r="C772" s="30">
        <v>96.25</v>
      </c>
      <c r="D772" s="30">
        <v>61</v>
      </c>
      <c r="E772" s="40"/>
      <c r="F772" s="30">
        <f t="shared" ref="F772:F777" si="46">B772+D772</f>
        <v>14761</v>
      </c>
      <c r="H772" s="7">
        <v>130.05000000000001</v>
      </c>
      <c r="I772" s="7">
        <v>151.55000000000001</v>
      </c>
      <c r="J772" s="7">
        <v>109.3</v>
      </c>
      <c r="K772" s="7"/>
      <c r="L772" s="7">
        <v>174.6</v>
      </c>
      <c r="M772" s="7">
        <v>124.15</v>
      </c>
      <c r="S772" s="40"/>
      <c r="W772" s="63">
        <v>0.54097222222222219</v>
      </c>
      <c r="X772" s="30">
        <v>94</v>
      </c>
      <c r="Y772" s="30">
        <v>36.049999999999997</v>
      </c>
    </row>
    <row r="773" spans="2:25" x14ac:dyDescent="0.3">
      <c r="B773" s="26">
        <f>B774-50</f>
        <v>14750</v>
      </c>
      <c r="C773" s="30">
        <v>68.55</v>
      </c>
      <c r="D773" s="30">
        <v>44.45</v>
      </c>
      <c r="E773" s="40"/>
      <c r="F773" s="30">
        <f t="shared" si="46"/>
        <v>14794.45</v>
      </c>
      <c r="H773" s="7">
        <v>98.3</v>
      </c>
      <c r="I773" s="7">
        <v>115.6</v>
      </c>
      <c r="J773" s="7">
        <v>77.95</v>
      </c>
      <c r="K773" s="7"/>
      <c r="L773" s="7">
        <v>135.25</v>
      </c>
      <c r="M773" s="7">
        <v>90.15</v>
      </c>
      <c r="W773" s="63">
        <v>6.1805555555555558E-2</v>
      </c>
      <c r="X773" s="30">
        <v>102.2</v>
      </c>
      <c r="Y773" s="30">
        <v>27.4</v>
      </c>
    </row>
    <row r="774" spans="2:25" x14ac:dyDescent="0.3">
      <c r="B774" s="26">
        <v>14800</v>
      </c>
      <c r="C774" s="30">
        <v>46.25</v>
      </c>
      <c r="D774" s="7">
        <v>31.55</v>
      </c>
      <c r="E774" s="40"/>
      <c r="F774" s="30">
        <f t="shared" si="46"/>
        <v>14831.55</v>
      </c>
      <c r="H774" s="7">
        <v>70.900000000000006</v>
      </c>
      <c r="I774" s="7">
        <v>85</v>
      </c>
      <c r="J774" s="7">
        <v>52.15</v>
      </c>
      <c r="K774" s="7"/>
      <c r="L774" s="7">
        <v>101</v>
      </c>
      <c r="M774" s="7">
        <v>62.45</v>
      </c>
      <c r="W774" s="63">
        <v>8.2638888888888887E-2</v>
      </c>
      <c r="X774" s="30">
        <v>101</v>
      </c>
      <c r="Y774" s="30">
        <v>28.45</v>
      </c>
    </row>
    <row r="775" spans="2:25" x14ac:dyDescent="0.3">
      <c r="B775" s="26">
        <f>B774+50</f>
        <v>14850</v>
      </c>
      <c r="C775" s="51">
        <v>29.75</v>
      </c>
      <c r="D775" s="23">
        <v>22.25</v>
      </c>
      <c r="E775" s="40"/>
      <c r="F775" s="50">
        <f t="shared" si="46"/>
        <v>14872.25</v>
      </c>
      <c r="H775" s="7">
        <v>48.5</v>
      </c>
      <c r="I775" s="7">
        <v>59.3</v>
      </c>
      <c r="J775" s="7">
        <v>32.85</v>
      </c>
      <c r="K775" s="7"/>
      <c r="L775" s="7">
        <v>71</v>
      </c>
      <c r="M775" s="7">
        <v>40.9</v>
      </c>
    </row>
    <row r="776" spans="2:25" x14ac:dyDescent="0.3">
      <c r="B776" s="72">
        <f>B775+50</f>
        <v>14900</v>
      </c>
      <c r="C776" s="30">
        <v>18.5</v>
      </c>
      <c r="D776" s="30">
        <v>15.5</v>
      </c>
      <c r="E776" s="40"/>
      <c r="F776" s="30">
        <f t="shared" si="46"/>
        <v>14915.5</v>
      </c>
      <c r="H776" s="7">
        <v>31.8</v>
      </c>
      <c r="I776" s="7">
        <v>39.65</v>
      </c>
      <c r="J776" s="7">
        <v>19.899999999999999</v>
      </c>
      <c r="K776" s="7"/>
      <c r="L776" s="7">
        <v>47</v>
      </c>
      <c r="M776" s="7">
        <v>25.25</v>
      </c>
      <c r="Q776" s="133" t="s">
        <v>72</v>
      </c>
      <c r="R776" s="134"/>
      <c r="S776" s="135"/>
      <c r="W776" s="34" t="s">
        <v>68</v>
      </c>
      <c r="X776" s="56" t="s">
        <v>69</v>
      </c>
      <c r="Y776" s="57" t="s">
        <v>70</v>
      </c>
    </row>
    <row r="777" spans="2:25" x14ac:dyDescent="0.3">
      <c r="B777" s="26">
        <f>B776+50</f>
        <v>14950</v>
      </c>
      <c r="C777" s="30">
        <v>11.55</v>
      </c>
      <c r="D777" s="30">
        <v>11</v>
      </c>
      <c r="E777" s="40"/>
      <c r="F777" s="30">
        <f t="shared" si="46"/>
        <v>14961</v>
      </c>
      <c r="H777" s="7">
        <v>20.350000000000001</v>
      </c>
      <c r="I777" s="7">
        <v>25.1</v>
      </c>
      <c r="J777" s="7">
        <v>12.25</v>
      </c>
      <c r="K777" s="7"/>
      <c r="L777" s="7">
        <v>29.7</v>
      </c>
      <c r="M777" s="7">
        <v>15.2</v>
      </c>
      <c r="Q777" s="30">
        <v>45</v>
      </c>
      <c r="R777" s="73">
        <v>75</v>
      </c>
      <c r="S777" s="30">
        <f>R777*Q777</f>
        <v>3375</v>
      </c>
      <c r="W777" s="63">
        <v>0.41597222222222219</v>
      </c>
      <c r="X777" s="30">
        <v>29.75</v>
      </c>
      <c r="Y777" s="30">
        <v>43.75</v>
      </c>
    </row>
    <row r="778" spans="2:25" x14ac:dyDescent="0.3">
      <c r="E778" s="40">
        <f>F778-(G778-F778)</f>
        <v>27.075000000000003</v>
      </c>
      <c r="F778" s="40">
        <f>AVERAGE(C774,C785)</f>
        <v>45</v>
      </c>
      <c r="G778" s="40">
        <f>AVERAGE(C773,C784)</f>
        <v>62.924999999999997</v>
      </c>
      <c r="H778" s="17"/>
      <c r="I778" s="17"/>
      <c r="J778" s="76"/>
      <c r="K778" s="76"/>
      <c r="L778" s="17"/>
      <c r="M778" s="17"/>
      <c r="Q778" s="30">
        <v>45</v>
      </c>
      <c r="R778" s="73">
        <v>75</v>
      </c>
      <c r="S778" s="30">
        <f>R778*Q778</f>
        <v>3375</v>
      </c>
      <c r="W778" s="63">
        <v>0.4368055555555555</v>
      </c>
      <c r="X778" s="30">
        <v>48.5</v>
      </c>
      <c r="Y778" s="30">
        <v>29.05</v>
      </c>
    </row>
    <row r="779" spans="2:25" x14ac:dyDescent="0.3">
      <c r="C779" s="64">
        <v>43865</v>
      </c>
      <c r="E779" s="40"/>
      <c r="F779" s="40">
        <f>AVERAGE(E778,F778)</f>
        <v>36.037500000000001</v>
      </c>
      <c r="G779" s="40"/>
      <c r="H779" s="66">
        <v>0.4368055555555555</v>
      </c>
      <c r="I779" s="66">
        <v>0.51041666666666663</v>
      </c>
      <c r="J779" s="66">
        <v>0.13125000000000001</v>
      </c>
      <c r="K779" s="66"/>
      <c r="L779" s="66">
        <v>8.3333333333333329E-2</v>
      </c>
      <c r="M779" s="66">
        <v>0.13541666666666666</v>
      </c>
      <c r="Q779" s="30"/>
      <c r="R779" s="73"/>
      <c r="S779" s="30">
        <f>R779*Q779</f>
        <v>0</v>
      </c>
      <c r="W779" s="63">
        <v>0.45763888888888887</v>
      </c>
      <c r="X779" s="30">
        <v>56.8</v>
      </c>
      <c r="Y779" s="30">
        <v>28.75</v>
      </c>
    </row>
    <row r="780" spans="2:25" x14ac:dyDescent="0.3">
      <c r="B780" s="34" t="s">
        <v>68</v>
      </c>
      <c r="C780" s="63">
        <v>0.41666666666666669</v>
      </c>
      <c r="D780" s="63">
        <v>0.41597222222222219</v>
      </c>
      <c r="E780" s="40">
        <f>F780-(G780-F780)</f>
        <v>31.975000000000009</v>
      </c>
      <c r="F780" s="40">
        <f>AVERAGE(C784,C774)</f>
        <v>51.774999999999999</v>
      </c>
      <c r="G780" s="40">
        <f>AVERAGE(C783,C773)</f>
        <v>71.574999999999989</v>
      </c>
      <c r="H780" s="7">
        <v>14815</v>
      </c>
      <c r="I780" s="23">
        <v>22.5</v>
      </c>
      <c r="J780" s="7">
        <v>14803</v>
      </c>
      <c r="K780" s="7"/>
      <c r="L780" s="7">
        <v>14884.5</v>
      </c>
      <c r="M780" s="7">
        <v>14823.65</v>
      </c>
      <c r="Q780" s="30">
        <f>S780/R780</f>
        <v>45</v>
      </c>
      <c r="R780" s="73">
        <f>SUM(R777:R779)</f>
        <v>150</v>
      </c>
      <c r="S780" s="30">
        <f>SUM(S777:S779)</f>
        <v>6750</v>
      </c>
      <c r="V780" s="40"/>
      <c r="W780" s="63">
        <v>0.47847222222222219</v>
      </c>
      <c r="X780" s="30">
        <v>58.8</v>
      </c>
      <c r="Y780" s="30">
        <v>25.7</v>
      </c>
    </row>
    <row r="781" spans="2:25" x14ac:dyDescent="0.3">
      <c r="B781" s="26">
        <f>B782+50</f>
        <v>14800</v>
      </c>
      <c r="C781" s="30">
        <v>125.25</v>
      </c>
      <c r="D781" s="30">
        <v>125.25</v>
      </c>
      <c r="E781" s="40"/>
      <c r="F781" s="30">
        <f t="shared" ref="F781:F786" si="47">B781-D781</f>
        <v>14674.75</v>
      </c>
      <c r="H781" s="7">
        <v>91.35</v>
      </c>
      <c r="I781" s="7">
        <v>70.2</v>
      </c>
      <c r="J781" s="7">
        <v>86.25</v>
      </c>
      <c r="K781" s="7"/>
      <c r="L781" s="7">
        <v>54.6</v>
      </c>
      <c r="M781" s="7">
        <v>74.55</v>
      </c>
      <c r="P781" s="50">
        <f>S786</f>
        <v>645</v>
      </c>
      <c r="Q781" s="57" t="s">
        <v>72</v>
      </c>
      <c r="S781" s="57" t="s">
        <v>73</v>
      </c>
      <c r="T781" s="23">
        <f>Y778-Y786</f>
        <v>6.5500000000000007</v>
      </c>
      <c r="U781" s="23"/>
      <c r="V781" s="50">
        <f>T781*225</f>
        <v>1473.7500000000002</v>
      </c>
      <c r="W781" s="63">
        <v>0.4993055555555555</v>
      </c>
      <c r="X781" s="30">
        <v>55.95</v>
      </c>
      <c r="Y781" s="30">
        <v>25.95</v>
      </c>
    </row>
    <row r="782" spans="2:25" x14ac:dyDescent="0.3">
      <c r="B782" s="26">
        <f>B783+50</f>
        <v>14750</v>
      </c>
      <c r="C782" s="30">
        <v>96.8</v>
      </c>
      <c r="D782" s="30">
        <v>96.8</v>
      </c>
      <c r="E782" s="40"/>
      <c r="F782" s="30">
        <f t="shared" si="47"/>
        <v>14653.2</v>
      </c>
      <c r="H782" s="7">
        <v>69</v>
      </c>
      <c r="I782" s="7">
        <v>51.4</v>
      </c>
      <c r="J782" s="7">
        <v>61.95</v>
      </c>
      <c r="K782" s="7"/>
      <c r="L782" s="7">
        <v>39.1</v>
      </c>
      <c r="M782" s="7">
        <v>52.9</v>
      </c>
      <c r="Q782" s="30">
        <v>62.9</v>
      </c>
      <c r="R782" s="73">
        <v>75</v>
      </c>
      <c r="S782" s="30">
        <f>R782*Q782</f>
        <v>4717.5</v>
      </c>
      <c r="W782" s="63">
        <v>0.52013888888888882</v>
      </c>
      <c r="X782" s="30">
        <v>62.15</v>
      </c>
      <c r="Y782" s="30">
        <v>22.35</v>
      </c>
    </row>
    <row r="783" spans="2:25" x14ac:dyDescent="0.3">
      <c r="B783" s="26">
        <v>14700</v>
      </c>
      <c r="C783" s="7">
        <v>74.599999999999994</v>
      </c>
      <c r="D783" s="7">
        <v>74.599999999999994</v>
      </c>
      <c r="E783" s="40"/>
      <c r="F783" s="30">
        <f t="shared" si="47"/>
        <v>14625.4</v>
      </c>
      <c r="H783" s="7">
        <v>50.7</v>
      </c>
      <c r="I783" s="7">
        <v>36.700000000000003</v>
      </c>
      <c r="J783" s="7">
        <v>43.05</v>
      </c>
      <c r="K783" s="7"/>
      <c r="L783" s="7">
        <v>28.45</v>
      </c>
      <c r="M783" s="7">
        <v>36.549999999999997</v>
      </c>
      <c r="Q783" s="30">
        <v>35.700000000000003</v>
      </c>
      <c r="R783" s="73">
        <v>75</v>
      </c>
      <c r="S783" s="30">
        <f>R783*Q783</f>
        <v>2677.5</v>
      </c>
      <c r="T783" s="40"/>
      <c r="U783" s="40"/>
      <c r="V783" s="40"/>
      <c r="W783" s="63">
        <v>0.54097222222222219</v>
      </c>
      <c r="X783" s="30">
        <v>66.55</v>
      </c>
      <c r="Y783" s="30">
        <v>21.4</v>
      </c>
    </row>
    <row r="784" spans="2:25" x14ac:dyDescent="0.3">
      <c r="B784" s="26">
        <f>B783-50</f>
        <v>14650</v>
      </c>
      <c r="C784" s="7">
        <v>57.3</v>
      </c>
      <c r="D784" s="23">
        <v>57.3</v>
      </c>
      <c r="E784" s="40"/>
      <c r="F784" s="50">
        <f t="shared" si="47"/>
        <v>14592.7</v>
      </c>
      <c r="H784" s="7">
        <v>38.049999999999997</v>
      </c>
      <c r="I784" s="7">
        <v>27.7</v>
      </c>
      <c r="J784" s="7">
        <v>31</v>
      </c>
      <c r="K784" s="7"/>
      <c r="L784" s="7">
        <v>21.35</v>
      </c>
      <c r="M784" s="7">
        <v>26.75</v>
      </c>
      <c r="Q784" s="30"/>
      <c r="R784" s="73"/>
      <c r="S784" s="30">
        <f>R784*Q784</f>
        <v>0</v>
      </c>
      <c r="T784" s="40"/>
      <c r="U784" s="40"/>
      <c r="V784" s="40"/>
      <c r="W784" s="63">
        <v>6.1805555555555558E-2</v>
      </c>
      <c r="X784" s="30">
        <v>72.3</v>
      </c>
      <c r="Y784" s="30">
        <v>16.5</v>
      </c>
    </row>
    <row r="785" spans="2:25" x14ac:dyDescent="0.3">
      <c r="B785" s="72">
        <f>B784-50</f>
        <v>14600</v>
      </c>
      <c r="C785" s="51">
        <v>43.75</v>
      </c>
      <c r="D785" s="7">
        <v>43.75</v>
      </c>
      <c r="E785" s="40"/>
      <c r="F785" s="30">
        <f t="shared" si="47"/>
        <v>14556.25</v>
      </c>
      <c r="H785" s="23">
        <v>29.05</v>
      </c>
      <c r="I785" s="7">
        <v>21.9</v>
      </c>
      <c r="J785" s="7">
        <v>24.3</v>
      </c>
      <c r="K785" s="7"/>
      <c r="L785" s="7">
        <v>17.5</v>
      </c>
      <c r="M785" s="7">
        <v>20.7</v>
      </c>
      <c r="Q785" s="30">
        <f>S785/R785</f>
        <v>49.3</v>
      </c>
      <c r="R785" s="73">
        <f>SUM(R782:R784)</f>
        <v>150</v>
      </c>
      <c r="S785" s="30">
        <f>SUM(S782:S784)</f>
        <v>7395</v>
      </c>
      <c r="W785" s="63">
        <v>8.2638888888888887E-2</v>
      </c>
      <c r="X785" s="30">
        <v>71</v>
      </c>
      <c r="Y785" s="30">
        <v>17.5</v>
      </c>
    </row>
    <row r="786" spans="2:25" x14ac:dyDescent="0.3">
      <c r="B786" s="26">
        <f>B785-50</f>
        <v>14550</v>
      </c>
      <c r="C786" s="30">
        <v>33.4</v>
      </c>
      <c r="D786" s="30">
        <v>33.4</v>
      </c>
      <c r="E786" s="40"/>
      <c r="F786" s="30">
        <f t="shared" si="47"/>
        <v>14516.6</v>
      </c>
      <c r="H786" s="7">
        <v>22.5</v>
      </c>
      <c r="I786" s="7">
        <v>17.5</v>
      </c>
      <c r="J786" s="7">
        <v>19</v>
      </c>
      <c r="K786" s="7"/>
      <c r="L786" s="7">
        <v>14.45</v>
      </c>
      <c r="M786" s="7">
        <v>16.3</v>
      </c>
      <c r="Q786" s="136" t="e">
        <f>S786/(R780-R785)</f>
        <v>#DIV/0!</v>
      </c>
      <c r="R786" s="137"/>
      <c r="S786" s="30">
        <f>S785-S780</f>
        <v>645</v>
      </c>
      <c r="W786" s="63">
        <v>0.43055555555555558</v>
      </c>
      <c r="X786" s="23">
        <v>45</v>
      </c>
      <c r="Y786" s="30">
        <v>22.5</v>
      </c>
    </row>
    <row r="798" spans="2:25" x14ac:dyDescent="0.3">
      <c r="B798" s="40"/>
      <c r="C798" s="50">
        <f>B799+E799</f>
        <v>14843.8</v>
      </c>
      <c r="D798" s="51">
        <f>C798+E799</f>
        <v>14903.8</v>
      </c>
      <c r="E798" s="21"/>
      <c r="F798" s="21"/>
      <c r="H798" s="52" t="str">
        <f>IF((C807-D807)&gt;(C816-D816),"LONG",IF(C816&gt;D814,"LONG","SHORT"))</f>
        <v>LONG</v>
      </c>
      <c r="I798" s="138" t="s">
        <v>95</v>
      </c>
      <c r="J798" s="139"/>
      <c r="K798" s="140"/>
      <c r="L798" s="53">
        <f>AVERAGE(L799:L800)</f>
        <v>197.3</v>
      </c>
      <c r="Q798" s="54">
        <v>0.39166666666666666</v>
      </c>
      <c r="R798" s="54">
        <v>0.39861111111111108</v>
      </c>
      <c r="S798" s="54">
        <v>0.4055555555555555</v>
      </c>
      <c r="T798" s="54">
        <v>0.41250000000000003</v>
      </c>
      <c r="U798" s="55"/>
      <c r="W798" s="34" t="s">
        <v>68</v>
      </c>
      <c r="X798" s="56" t="s">
        <v>69</v>
      </c>
      <c r="Y798" s="57" t="s">
        <v>70</v>
      </c>
    </row>
    <row r="799" spans="2:25" x14ac:dyDescent="0.3">
      <c r="B799" s="50">
        <v>14783.8</v>
      </c>
      <c r="C799" s="40"/>
      <c r="D799" s="58"/>
      <c r="E799" s="59">
        <f>ROUND((((B799*F799%)/4)/10),0)*10</f>
        <v>60</v>
      </c>
      <c r="F799" s="51">
        <v>1.7</v>
      </c>
      <c r="H799" s="60" t="s">
        <v>69</v>
      </c>
      <c r="I799" s="61">
        <f>AVERAGE(C816,C805)</f>
        <v>174.77500000000001</v>
      </c>
      <c r="J799" s="61">
        <f>AVERAGE(C816,C806)</f>
        <v>160.67500000000001</v>
      </c>
      <c r="K799" s="61">
        <f>AVERAGE(C816,C807)</f>
        <v>148.05000000000001</v>
      </c>
      <c r="L799" s="61">
        <f>C805</f>
        <v>203</v>
      </c>
      <c r="Q799" s="51">
        <v>14802.05</v>
      </c>
      <c r="R799" s="51">
        <v>14751</v>
      </c>
      <c r="S799" s="51">
        <v>14800</v>
      </c>
      <c r="T799" s="51">
        <v>14789.55</v>
      </c>
      <c r="U799" s="62"/>
      <c r="W799" s="63">
        <v>0.41597222222222219</v>
      </c>
      <c r="X799" s="30">
        <v>149.55000000000001</v>
      </c>
      <c r="Y799" s="30">
        <v>146.55000000000001</v>
      </c>
    </row>
    <row r="800" spans="2:25" x14ac:dyDescent="0.3">
      <c r="B800" s="40"/>
      <c r="C800" s="50">
        <f>B799-E799</f>
        <v>14723.8</v>
      </c>
      <c r="D800" s="51">
        <f>C800-E799</f>
        <v>14663.8</v>
      </c>
      <c r="E800" s="21"/>
      <c r="F800" s="21"/>
      <c r="H800" s="60" t="s">
        <v>70</v>
      </c>
      <c r="I800" s="61">
        <f>AVERAGE(C807,C814)</f>
        <v>170.57499999999999</v>
      </c>
      <c r="J800" s="61">
        <f>AVERAGE(C807,C815)</f>
        <v>158.80000000000001</v>
      </c>
      <c r="K800" s="61">
        <f>AVERAGE(C807,C816)</f>
        <v>148.05000000000001</v>
      </c>
      <c r="L800" s="61">
        <f>C814</f>
        <v>191.6</v>
      </c>
      <c r="W800" s="63">
        <v>0.4368055555555555</v>
      </c>
      <c r="X800" s="30">
        <v>146.85</v>
      </c>
      <c r="Y800" s="30">
        <v>144.55000000000001</v>
      </c>
    </row>
    <row r="801" spans="2:25" x14ac:dyDescent="0.3">
      <c r="F801" s="40"/>
      <c r="G801" s="40"/>
      <c r="K801" s="40"/>
      <c r="Q801" s="141">
        <v>289000</v>
      </c>
      <c r="R801" s="142"/>
      <c r="S801" s="79">
        <f>Q801/4</f>
        <v>72250</v>
      </c>
      <c r="T801" s="79">
        <f>ROUND(((S801/99.3)/75)/3,0)*75</f>
        <v>225</v>
      </c>
      <c r="U801" s="80"/>
      <c r="W801" s="63">
        <v>0.45763888888888887</v>
      </c>
      <c r="X801" s="30">
        <v>133.5</v>
      </c>
      <c r="Y801" s="30">
        <v>154.75</v>
      </c>
    </row>
    <row r="802" spans="2:25" x14ac:dyDescent="0.3">
      <c r="B802" s="40"/>
      <c r="I802" s="143" t="s">
        <v>96</v>
      </c>
      <c r="J802" s="143"/>
      <c r="K802" s="143"/>
      <c r="W802" s="63">
        <v>0.47847222222222219</v>
      </c>
      <c r="X802" s="30">
        <v>164.65</v>
      </c>
      <c r="Y802" s="30">
        <v>123.95</v>
      </c>
    </row>
    <row r="803" spans="2:25" x14ac:dyDescent="0.3">
      <c r="C803" s="64">
        <v>44231</v>
      </c>
      <c r="F803" s="30">
        <f>AVERAGE(F805,F814)</f>
        <v>14778.599999999999</v>
      </c>
      <c r="G803" s="65"/>
      <c r="H803" s="66">
        <v>0.4368055555555555</v>
      </c>
      <c r="I803" s="66">
        <v>0.46180555555555558</v>
      </c>
      <c r="J803" s="66">
        <v>0.47083333333333338</v>
      </c>
      <c r="K803" s="66">
        <v>0.47430555555555554</v>
      </c>
      <c r="L803" s="66">
        <v>0.52083333333333337</v>
      </c>
      <c r="M803" s="66">
        <v>0.13541666666666666</v>
      </c>
      <c r="Q803" s="132" t="s">
        <v>71</v>
      </c>
      <c r="R803" s="132"/>
      <c r="S803" s="132" t="s">
        <v>37</v>
      </c>
      <c r="T803" s="132"/>
      <c r="U803" s="69"/>
      <c r="W803" s="63">
        <v>0.4993055555555555</v>
      </c>
      <c r="X803" s="30">
        <v>172.5</v>
      </c>
      <c r="Y803" s="30">
        <v>111.15</v>
      </c>
    </row>
    <row r="804" spans="2:25" x14ac:dyDescent="0.3">
      <c r="B804" s="34" t="s">
        <v>68</v>
      </c>
      <c r="C804" s="63">
        <v>0.41666666666666669</v>
      </c>
      <c r="D804" s="63">
        <v>0.39930555555555558</v>
      </c>
      <c r="H804" s="7">
        <v>14785</v>
      </c>
      <c r="I804" s="23">
        <v>86.4</v>
      </c>
      <c r="J804" s="23">
        <v>102.3</v>
      </c>
      <c r="K804" s="23">
        <v>94.55</v>
      </c>
      <c r="L804" s="23">
        <v>118</v>
      </c>
      <c r="M804" s="7">
        <v>14886.65</v>
      </c>
      <c r="Q804" s="61">
        <f>R804-(S804-R804)</f>
        <v>12621</v>
      </c>
      <c r="R804" s="61">
        <v>13752</v>
      </c>
      <c r="S804" s="61">
        <v>14883</v>
      </c>
      <c r="T804" s="61">
        <f>S804+(S804-R804)</f>
        <v>16014</v>
      </c>
      <c r="U804" s="71"/>
      <c r="W804" s="63">
        <v>0.52013888888888882</v>
      </c>
      <c r="X804" s="30">
        <v>190.8</v>
      </c>
      <c r="Y804" s="30">
        <v>102.85</v>
      </c>
    </row>
    <row r="805" spans="2:25" x14ac:dyDescent="0.3">
      <c r="B805" s="26">
        <f>B806-50</f>
        <v>14700</v>
      </c>
      <c r="C805" s="30">
        <v>203</v>
      </c>
      <c r="D805" s="30">
        <v>195.3</v>
      </c>
      <c r="E805" s="40"/>
      <c r="F805" s="30">
        <f t="shared" ref="F805:F810" si="48">B805+D805</f>
        <v>14895.3</v>
      </c>
      <c r="H805" s="7">
        <v>199.2</v>
      </c>
      <c r="I805" s="7">
        <v>210.6</v>
      </c>
      <c r="J805" s="7">
        <v>235</v>
      </c>
      <c r="K805" s="7">
        <v>221.4</v>
      </c>
      <c r="L805" s="7">
        <v>261.2</v>
      </c>
      <c r="M805" s="7">
        <v>260.55</v>
      </c>
      <c r="S805" s="40"/>
      <c r="W805" s="63">
        <v>0.54097222222222219</v>
      </c>
      <c r="X805" s="30">
        <v>175.25</v>
      </c>
      <c r="Y805" s="30">
        <v>115.35</v>
      </c>
    </row>
    <row r="806" spans="2:25" x14ac:dyDescent="0.3">
      <c r="B806" s="26">
        <f>B807-50</f>
        <v>14750</v>
      </c>
      <c r="C806" s="30">
        <v>174.8</v>
      </c>
      <c r="D806" s="30">
        <v>168</v>
      </c>
      <c r="E806" s="40"/>
      <c r="F806" s="30">
        <f t="shared" si="48"/>
        <v>14918</v>
      </c>
      <c r="H806" s="7">
        <v>173</v>
      </c>
      <c r="I806" s="7">
        <v>182</v>
      </c>
      <c r="J806" s="7">
        <v>204.9</v>
      </c>
      <c r="K806" s="7">
        <v>190.15</v>
      </c>
      <c r="L806" s="7">
        <v>226.5</v>
      </c>
      <c r="M806" s="7">
        <v>227.55</v>
      </c>
      <c r="Q806" s="40"/>
      <c r="W806" s="63">
        <v>6.1805555555555558E-2</v>
      </c>
      <c r="X806" s="30">
        <v>179.65</v>
      </c>
      <c r="Y806" s="30">
        <v>109.4</v>
      </c>
    </row>
    <row r="807" spans="2:25" x14ac:dyDescent="0.3">
      <c r="B807" s="26">
        <v>14800</v>
      </c>
      <c r="C807" s="30">
        <v>149.55000000000001</v>
      </c>
      <c r="D807" s="30">
        <v>143.94999999999999</v>
      </c>
      <c r="E807" s="40"/>
      <c r="F807" s="30">
        <f t="shared" si="48"/>
        <v>14943.95</v>
      </c>
      <c r="H807" s="7">
        <v>146.85</v>
      </c>
      <c r="I807" s="7">
        <v>154.35</v>
      </c>
      <c r="J807" s="7">
        <v>174.05</v>
      </c>
      <c r="K807" s="7">
        <v>162.55000000000001</v>
      </c>
      <c r="L807" s="7">
        <v>194.9</v>
      </c>
      <c r="M807" s="7">
        <v>195.15</v>
      </c>
      <c r="Q807" s="30">
        <f>(137.25-94.55)</f>
        <v>42.7</v>
      </c>
      <c r="R807" s="26">
        <f>225</f>
        <v>225</v>
      </c>
      <c r="S807" s="26">
        <f>Q807*R807</f>
        <v>9607.5</v>
      </c>
      <c r="W807" s="63">
        <v>8.2638888888888887E-2</v>
      </c>
      <c r="X807" s="30">
        <v>184.25</v>
      </c>
      <c r="Y807" s="30">
        <v>106.55</v>
      </c>
    </row>
    <row r="808" spans="2:25" x14ac:dyDescent="0.3">
      <c r="B808" s="26">
        <f>B807+50</f>
        <v>14850</v>
      </c>
      <c r="C808" s="30">
        <v>124.85</v>
      </c>
      <c r="D808" s="23">
        <v>121.85</v>
      </c>
      <c r="E808" s="40"/>
      <c r="F808" s="50">
        <f t="shared" si="48"/>
        <v>14971.85</v>
      </c>
      <c r="H808" s="7">
        <v>123.5</v>
      </c>
      <c r="I808" s="7">
        <v>130</v>
      </c>
      <c r="J808" s="7">
        <v>148</v>
      </c>
      <c r="K808" s="7">
        <v>137.25</v>
      </c>
      <c r="L808" s="7">
        <v>167.3</v>
      </c>
      <c r="M808" s="7">
        <v>167.05</v>
      </c>
    </row>
    <row r="809" spans="2:25" x14ac:dyDescent="0.3">
      <c r="B809" s="72">
        <f>B808+50</f>
        <v>14900</v>
      </c>
      <c r="C809" s="30">
        <v>105.45</v>
      </c>
      <c r="D809" s="7">
        <v>102.4</v>
      </c>
      <c r="E809" s="40"/>
      <c r="F809" s="30">
        <f t="shared" si="48"/>
        <v>15002.4</v>
      </c>
      <c r="H809" s="7">
        <v>102.5</v>
      </c>
      <c r="I809" s="7">
        <v>108.55</v>
      </c>
      <c r="J809" s="7">
        <v>124.35</v>
      </c>
      <c r="K809" s="7">
        <v>114.1</v>
      </c>
      <c r="L809" s="7">
        <v>140.6</v>
      </c>
      <c r="M809" s="7">
        <v>141.05000000000001</v>
      </c>
      <c r="Q809" s="133" t="s">
        <v>72</v>
      </c>
      <c r="R809" s="134"/>
      <c r="S809" s="135"/>
      <c r="W809" s="34" t="s">
        <v>68</v>
      </c>
      <c r="X809" s="56" t="s">
        <v>69</v>
      </c>
      <c r="Y809" s="57" t="s">
        <v>70</v>
      </c>
    </row>
    <row r="810" spans="2:25" x14ac:dyDescent="0.3">
      <c r="B810" s="26">
        <f>B809+50</f>
        <v>14950</v>
      </c>
      <c r="C810" s="51">
        <v>86.4</v>
      </c>
      <c r="D810" s="30">
        <v>85.4</v>
      </c>
      <c r="E810" s="40"/>
      <c r="F810" s="30">
        <f t="shared" si="48"/>
        <v>15035.4</v>
      </c>
      <c r="H810" s="7">
        <v>83.15</v>
      </c>
      <c r="I810" s="7">
        <v>90</v>
      </c>
      <c r="J810" s="7">
        <v>104</v>
      </c>
      <c r="K810" s="7">
        <v>94.55</v>
      </c>
      <c r="L810" s="7">
        <v>117.8</v>
      </c>
      <c r="M810" s="7">
        <v>118.75</v>
      </c>
      <c r="Q810" s="30">
        <v>104</v>
      </c>
      <c r="R810" s="73">
        <v>75</v>
      </c>
      <c r="S810" s="30">
        <f>R810*Q810</f>
        <v>7800</v>
      </c>
      <c r="W810" s="63">
        <v>0.41597222222222219</v>
      </c>
      <c r="X810" s="30">
        <v>86.4</v>
      </c>
      <c r="Y810" s="30">
        <v>99.3</v>
      </c>
    </row>
    <row r="811" spans="2:25" x14ac:dyDescent="0.3">
      <c r="E811" s="40">
        <f>F811-(G811-F811)</f>
        <v>86.724999999999994</v>
      </c>
      <c r="F811" s="40">
        <f>AVERAGE(C809,C819)</f>
        <v>102.375</v>
      </c>
      <c r="G811" s="40">
        <f>AVERAGE(C808,C818)</f>
        <v>118.02500000000001</v>
      </c>
      <c r="H811" s="17"/>
      <c r="I811" s="17"/>
      <c r="J811" s="17"/>
      <c r="K811" s="76"/>
      <c r="L811" s="76"/>
      <c r="M811" s="17"/>
      <c r="Q811" s="30">
        <v>104</v>
      </c>
      <c r="R811" s="73">
        <v>75</v>
      </c>
      <c r="S811" s="30">
        <f>R811*Q811</f>
        <v>7800</v>
      </c>
      <c r="W811" s="63">
        <v>0.4368055555555555</v>
      </c>
      <c r="X811" s="30">
        <v>83.15</v>
      </c>
      <c r="Y811" s="30">
        <v>97.4</v>
      </c>
    </row>
    <row r="812" spans="2:25" x14ac:dyDescent="0.3">
      <c r="C812" s="64">
        <v>43872</v>
      </c>
      <c r="E812" s="40">
        <f>AVERAGE(F811,E811)</f>
        <v>94.55</v>
      </c>
      <c r="F812" s="40">
        <f>AVERAGE(E813,F813)</f>
        <v>99.275000000000006</v>
      </c>
      <c r="G812" s="40"/>
      <c r="H812" s="67">
        <v>0.4368055555555555</v>
      </c>
      <c r="I812" s="66">
        <v>0.46180555555555558</v>
      </c>
      <c r="J812" s="66">
        <v>0.47083333333333338</v>
      </c>
      <c r="K812" s="66">
        <v>0.47430555555555554</v>
      </c>
      <c r="L812" s="66">
        <v>0.52083333333333337</v>
      </c>
      <c r="M812" s="66">
        <v>0.13541666666666666</v>
      </c>
      <c r="Q812" s="30"/>
      <c r="R812" s="73"/>
      <c r="S812" s="30">
        <f>R812*Q812</f>
        <v>0</v>
      </c>
      <c r="W812" s="63">
        <v>0.45763888888888887</v>
      </c>
      <c r="X812" s="30">
        <v>76.05</v>
      </c>
      <c r="Y812" s="30">
        <v>101.9</v>
      </c>
    </row>
    <row r="813" spans="2:25" x14ac:dyDescent="0.3">
      <c r="B813" s="34" t="s">
        <v>68</v>
      </c>
      <c r="C813" s="63">
        <v>0.41666666666666669</v>
      </c>
      <c r="D813" s="63">
        <v>0.40972222222222227</v>
      </c>
      <c r="E813" s="40">
        <f>F813-(G813-F813)</f>
        <v>90.225000000000009</v>
      </c>
      <c r="F813" s="40">
        <f>AVERAGE(C818,C809)</f>
        <v>108.325</v>
      </c>
      <c r="G813" s="40">
        <f>AVERAGE(C817,C808)</f>
        <v>126.425</v>
      </c>
      <c r="H813" s="7">
        <v>14785</v>
      </c>
      <c r="I813" s="7">
        <v>14803.95</v>
      </c>
      <c r="J813" s="7">
        <v>14847</v>
      </c>
      <c r="K813" s="7">
        <v>14823.6</v>
      </c>
      <c r="L813" s="7">
        <v>14887.35</v>
      </c>
      <c r="M813" s="7">
        <v>14886.65</v>
      </c>
      <c r="Q813" s="30">
        <f>S813/R813</f>
        <v>104</v>
      </c>
      <c r="R813" s="73">
        <f>SUM(R810:R812)</f>
        <v>150</v>
      </c>
      <c r="S813" s="30">
        <f>SUM(S810:S812)</f>
        <v>15600</v>
      </c>
      <c r="V813" s="40"/>
      <c r="W813" s="63">
        <v>0.47847222222222219</v>
      </c>
      <c r="X813" s="30">
        <v>97.4</v>
      </c>
      <c r="Y813" s="30">
        <v>81.349999999999994</v>
      </c>
    </row>
    <row r="814" spans="2:25" x14ac:dyDescent="0.3">
      <c r="B814" s="26">
        <f>B815+50</f>
        <v>14850</v>
      </c>
      <c r="C814" s="30">
        <v>191.6</v>
      </c>
      <c r="D814" s="30">
        <v>188.1</v>
      </c>
      <c r="E814" s="40"/>
      <c r="F814" s="30">
        <f t="shared" ref="F814:F819" si="49">B814-D814</f>
        <v>14661.9</v>
      </c>
      <c r="H814" s="7">
        <v>190.4</v>
      </c>
      <c r="I814" s="7">
        <v>179.85</v>
      </c>
      <c r="J814" s="7">
        <v>154.05000000000001</v>
      </c>
      <c r="K814" s="7">
        <v>166.35</v>
      </c>
      <c r="L814" s="7">
        <v>134.55000000000001</v>
      </c>
      <c r="M814" s="7">
        <v>133.55000000000001</v>
      </c>
      <c r="P814" s="50">
        <f>S819</f>
        <v>2156.25</v>
      </c>
      <c r="Q814" s="57" t="s">
        <v>72</v>
      </c>
      <c r="S814" s="57" t="s">
        <v>73</v>
      </c>
      <c r="T814" s="23">
        <f>X811-X819</f>
        <v>-3.25</v>
      </c>
      <c r="U814" s="23"/>
      <c r="V814" s="50">
        <f>T814*225</f>
        <v>-731.25</v>
      </c>
      <c r="W814" s="63">
        <v>0.4993055555555555</v>
      </c>
      <c r="X814" s="30">
        <v>101.45</v>
      </c>
      <c r="Y814" s="30">
        <v>71.75</v>
      </c>
    </row>
    <row r="815" spans="2:25" x14ac:dyDescent="0.3">
      <c r="B815" s="26">
        <f>B816+50</f>
        <v>14800</v>
      </c>
      <c r="C815" s="30">
        <v>168.05</v>
      </c>
      <c r="D815" s="30">
        <v>163</v>
      </c>
      <c r="E815" s="40"/>
      <c r="F815" s="30">
        <f t="shared" si="49"/>
        <v>14637</v>
      </c>
      <c r="H815" s="7">
        <v>167</v>
      </c>
      <c r="I815" s="7">
        <v>156.19999999999999</v>
      </c>
      <c r="J815" s="7">
        <v>133.80000000000001</v>
      </c>
      <c r="K815" s="7">
        <v>146.65</v>
      </c>
      <c r="L815" s="7">
        <v>115.25</v>
      </c>
      <c r="M815" s="7">
        <v>115</v>
      </c>
      <c r="Q815" s="30">
        <v>118</v>
      </c>
      <c r="R815" s="73">
        <v>75</v>
      </c>
      <c r="S815" s="30">
        <f>R815*Q815</f>
        <v>8850</v>
      </c>
      <c r="W815" s="63">
        <v>0.52013888888888882</v>
      </c>
      <c r="X815" s="30">
        <v>114.4</v>
      </c>
      <c r="Y815" s="30">
        <v>66.599999999999994</v>
      </c>
    </row>
    <row r="816" spans="2:25" x14ac:dyDescent="0.3">
      <c r="B816" s="26">
        <v>14750</v>
      </c>
      <c r="C816" s="30">
        <v>146.55000000000001</v>
      </c>
      <c r="D816" s="7">
        <v>142.9</v>
      </c>
      <c r="E816" s="40"/>
      <c r="F816" s="30">
        <f t="shared" si="49"/>
        <v>14607.1</v>
      </c>
      <c r="H816" s="7">
        <v>144.55000000000001</v>
      </c>
      <c r="I816" s="7">
        <v>135</v>
      </c>
      <c r="J816" s="7">
        <v>115.85</v>
      </c>
      <c r="K816" s="7">
        <v>126</v>
      </c>
      <c r="L816" s="7">
        <v>100.9</v>
      </c>
      <c r="M816" s="7">
        <v>98.3</v>
      </c>
      <c r="Q816" s="30">
        <v>118.75</v>
      </c>
      <c r="R816" s="73">
        <v>75</v>
      </c>
      <c r="S816" s="30">
        <f>R816*Q816</f>
        <v>8906.25</v>
      </c>
      <c r="T816" s="40"/>
      <c r="U816" s="40"/>
      <c r="V816" s="40"/>
      <c r="W816" s="63">
        <v>0.54097222222222219</v>
      </c>
      <c r="X816" s="30">
        <v>103.45</v>
      </c>
      <c r="Y816" s="30">
        <v>74.25</v>
      </c>
    </row>
    <row r="817" spans="2:25" x14ac:dyDescent="0.3">
      <c r="B817" s="26">
        <f>B816-50</f>
        <v>14700</v>
      </c>
      <c r="C817" s="30">
        <v>128</v>
      </c>
      <c r="D817" s="23">
        <v>123.85</v>
      </c>
      <c r="E817" s="40"/>
      <c r="F817" s="50">
        <f t="shared" si="49"/>
        <v>14576.15</v>
      </c>
      <c r="H817" s="7">
        <v>127.3</v>
      </c>
      <c r="I817" s="7">
        <v>118.15</v>
      </c>
      <c r="J817" s="7">
        <v>100.55</v>
      </c>
      <c r="K817" s="7">
        <v>109.3</v>
      </c>
      <c r="L817" s="7">
        <v>87.5</v>
      </c>
      <c r="M817" s="7">
        <v>84.35</v>
      </c>
      <c r="Q817" s="30"/>
      <c r="R817" s="73"/>
      <c r="S817" s="30">
        <f>R817*Q817</f>
        <v>0</v>
      </c>
      <c r="T817" s="40"/>
      <c r="U817" s="40"/>
      <c r="V817" s="40"/>
      <c r="W817" s="63">
        <v>6.1805555555555558E-2</v>
      </c>
      <c r="X817" s="30">
        <v>107.75</v>
      </c>
      <c r="Y817" s="30">
        <v>70.650000000000006</v>
      </c>
    </row>
    <row r="818" spans="2:25" x14ac:dyDescent="0.3">
      <c r="B818" s="72">
        <f>B817-50</f>
        <v>14650</v>
      </c>
      <c r="C818" s="30">
        <v>111.2</v>
      </c>
      <c r="D818" s="7">
        <v>109.45</v>
      </c>
      <c r="E818" s="40"/>
      <c r="F818" s="30">
        <f t="shared" si="49"/>
        <v>14540.55</v>
      </c>
      <c r="H818" s="7">
        <v>110.65</v>
      </c>
      <c r="I818" s="7">
        <v>101.8</v>
      </c>
      <c r="J818" s="7">
        <v>87.25</v>
      </c>
      <c r="K818" s="7">
        <v>94.6</v>
      </c>
      <c r="L818" s="7">
        <v>76</v>
      </c>
      <c r="M818" s="7">
        <v>72.2</v>
      </c>
      <c r="Q818" s="30">
        <f>S818/R818</f>
        <v>118.375</v>
      </c>
      <c r="R818" s="73">
        <f>SUM(R815:R817)</f>
        <v>150</v>
      </c>
      <c r="S818" s="30">
        <f>SUM(S815:S817)</f>
        <v>17756.25</v>
      </c>
      <c r="W818" s="63">
        <v>8.2638888888888887E-2</v>
      </c>
      <c r="X818" s="30">
        <v>108.95</v>
      </c>
      <c r="Y818" s="30">
        <v>69.95</v>
      </c>
    </row>
    <row r="819" spans="2:25" x14ac:dyDescent="0.3">
      <c r="B819" s="26">
        <f>B818-50</f>
        <v>14600</v>
      </c>
      <c r="C819" s="51">
        <v>99.3</v>
      </c>
      <c r="D819" s="30">
        <v>95.05</v>
      </c>
      <c r="E819" s="40"/>
      <c r="F819" s="30">
        <f t="shared" si="49"/>
        <v>14504.95</v>
      </c>
      <c r="H819" s="7">
        <v>97.4</v>
      </c>
      <c r="I819" s="7">
        <v>88.8</v>
      </c>
      <c r="J819" s="7">
        <v>75</v>
      </c>
      <c r="K819" s="7">
        <v>82.6</v>
      </c>
      <c r="L819" s="23">
        <v>66.05</v>
      </c>
      <c r="M819" s="7">
        <v>61.25</v>
      </c>
      <c r="Q819" s="136" t="e">
        <f>S819/(R813-R818)</f>
        <v>#DIV/0!</v>
      </c>
      <c r="R819" s="137"/>
      <c r="S819" s="30">
        <f>S818-S813</f>
        <v>2156.25</v>
      </c>
      <c r="W819" s="63">
        <v>0.4201388888888889</v>
      </c>
      <c r="X819" s="23">
        <v>86.4</v>
      </c>
      <c r="Y819" s="23">
        <v>108.3</v>
      </c>
    </row>
    <row r="831" spans="2:25" x14ac:dyDescent="0.3">
      <c r="B831" s="40"/>
      <c r="C831" s="50">
        <f>B832+E832</f>
        <v>15158.1</v>
      </c>
      <c r="D831" s="51">
        <f>C831+E832</f>
        <v>15218.1</v>
      </c>
      <c r="E831" s="21"/>
      <c r="F831" s="21"/>
      <c r="H831" s="52" t="str">
        <f>IF((C840-D840)&gt;(C849-D849),"LONG",IF(C849&gt;D847,"LONG","SHORT"))</f>
        <v>LONG</v>
      </c>
      <c r="I831" s="138" t="s">
        <v>97</v>
      </c>
      <c r="J831" s="139"/>
      <c r="K831" s="140"/>
      <c r="L831" s="53">
        <f>AVERAGE(L832:L833)</f>
        <v>157.65</v>
      </c>
      <c r="Q831" s="54">
        <v>0.39166666666666666</v>
      </c>
      <c r="R831" s="54">
        <v>0.39861111111111108</v>
      </c>
      <c r="S831" s="54">
        <v>0.4055555555555555</v>
      </c>
      <c r="T831" s="54">
        <v>0.41250000000000003</v>
      </c>
      <c r="U831" s="55"/>
      <c r="W831" s="34" t="s">
        <v>68</v>
      </c>
      <c r="X831" s="56" t="s">
        <v>69</v>
      </c>
      <c r="Y831" s="57" t="s">
        <v>70</v>
      </c>
    </row>
    <row r="832" spans="2:25" x14ac:dyDescent="0.3">
      <c r="B832" s="50">
        <v>15098.1</v>
      </c>
      <c r="C832" s="40"/>
      <c r="D832" s="58"/>
      <c r="E832" s="59">
        <f>ROUND((((B832*F832%)/4)/10),0)*10</f>
        <v>60</v>
      </c>
      <c r="F832" s="51">
        <v>1.69</v>
      </c>
      <c r="H832" s="60" t="s">
        <v>69</v>
      </c>
      <c r="I832" s="61">
        <f>AVERAGE(C849,C838)</f>
        <v>133.75</v>
      </c>
      <c r="J832" s="61">
        <f>AVERAGE(C849,C839)</f>
        <v>120.27500000000001</v>
      </c>
      <c r="K832" s="61">
        <f>AVERAGE(C849,C840)</f>
        <v>108.075</v>
      </c>
      <c r="L832" s="61">
        <f>C838</f>
        <v>150.5</v>
      </c>
      <c r="Q832" s="51">
        <v>15084.95</v>
      </c>
      <c r="R832" s="51">
        <v>15084</v>
      </c>
      <c r="S832" s="51">
        <v>15099.35</v>
      </c>
      <c r="T832" s="51">
        <v>15100</v>
      </c>
      <c r="U832" s="62"/>
      <c r="W832" s="63">
        <v>0.41597222222222219</v>
      </c>
      <c r="X832" s="30">
        <v>99.15</v>
      </c>
      <c r="Y832" s="30">
        <v>117</v>
      </c>
    </row>
    <row r="833" spans="2:25" x14ac:dyDescent="0.3">
      <c r="B833" s="40"/>
      <c r="C833" s="50">
        <f>B832-E832</f>
        <v>15038.1</v>
      </c>
      <c r="D833" s="51">
        <f>C833-E832</f>
        <v>14978.1</v>
      </c>
      <c r="E833" s="21"/>
      <c r="F833" s="21"/>
      <c r="H833" s="60" t="s">
        <v>70</v>
      </c>
      <c r="I833" s="61">
        <f>AVERAGE(C840,C847)</f>
        <v>131.97500000000002</v>
      </c>
      <c r="J833" s="61">
        <f>AVERAGE(C840,C848)</f>
        <v>119.25</v>
      </c>
      <c r="K833" s="61">
        <f>AVERAGE(C840,C849)</f>
        <v>108.075</v>
      </c>
      <c r="L833" s="61">
        <f>C847</f>
        <v>164.8</v>
      </c>
      <c r="W833" s="63">
        <v>0.4368055555555555</v>
      </c>
      <c r="X833" s="30">
        <v>108.7</v>
      </c>
      <c r="Y833" s="30">
        <v>102.1</v>
      </c>
    </row>
    <row r="834" spans="2:25" x14ac:dyDescent="0.3">
      <c r="F834" s="40"/>
      <c r="G834" s="40"/>
      <c r="K834" s="40"/>
      <c r="R834">
        <f>ROUND((38000/77)/75,0)*75</f>
        <v>525</v>
      </c>
      <c r="W834" s="63">
        <v>0.45763888888888887</v>
      </c>
      <c r="X834" s="30">
        <v>105.55</v>
      </c>
      <c r="Y834" s="30">
        <v>102.55</v>
      </c>
    </row>
    <row r="835" spans="2:25" x14ac:dyDescent="0.3">
      <c r="B835" s="40"/>
      <c r="W835" s="63">
        <v>0.47847222222222219</v>
      </c>
      <c r="X835" s="30">
        <v>102.15</v>
      </c>
      <c r="Y835" s="30">
        <v>105.25</v>
      </c>
    </row>
    <row r="836" spans="2:25" x14ac:dyDescent="0.3">
      <c r="C836" s="64">
        <v>44235</v>
      </c>
      <c r="F836" s="30">
        <f>AVERAGE(F838,F847)</f>
        <v>15089.1</v>
      </c>
      <c r="G836" s="65"/>
      <c r="H836" s="66"/>
      <c r="I836" s="66"/>
      <c r="J836" s="66"/>
      <c r="K836" s="66"/>
      <c r="L836" s="66">
        <v>8.3333333333333329E-2</v>
      </c>
      <c r="M836" s="66">
        <v>0.13541666666666666</v>
      </c>
      <c r="Q836" s="132" t="s">
        <v>71</v>
      </c>
      <c r="R836" s="132"/>
      <c r="S836" s="132" t="s">
        <v>37</v>
      </c>
      <c r="T836" s="132"/>
      <c r="U836" s="69"/>
      <c r="W836" s="63">
        <v>0.4993055555555555</v>
      </c>
      <c r="X836" s="30">
        <v>105.05</v>
      </c>
      <c r="Y836" s="30">
        <v>100.15</v>
      </c>
    </row>
    <row r="837" spans="2:25" x14ac:dyDescent="0.3">
      <c r="B837" s="34" t="s">
        <v>68</v>
      </c>
      <c r="C837" s="63">
        <v>0.41666666666666669</v>
      </c>
      <c r="D837" s="63">
        <v>0.38611111111111113</v>
      </c>
      <c r="H837" s="23"/>
      <c r="I837" s="7"/>
      <c r="J837" s="7"/>
      <c r="K837" s="7"/>
      <c r="L837" s="7">
        <v>15149.6</v>
      </c>
      <c r="M837" s="7">
        <v>15126.8</v>
      </c>
      <c r="Q837" s="61">
        <f>R837-(S837-R837)</f>
        <v>0</v>
      </c>
      <c r="R837" s="61"/>
      <c r="S837" s="61"/>
      <c r="T837" s="61">
        <f>S837+(S837-R837)</f>
        <v>0</v>
      </c>
      <c r="U837" s="71"/>
      <c r="W837" s="63">
        <v>0.52013888888888882</v>
      </c>
      <c r="X837" s="30">
        <v>88</v>
      </c>
      <c r="Y837" s="30">
        <v>116.4</v>
      </c>
    </row>
    <row r="838" spans="2:25" x14ac:dyDescent="0.3">
      <c r="B838" s="26">
        <f>B839-50</f>
        <v>15050</v>
      </c>
      <c r="C838" s="30">
        <v>150.5</v>
      </c>
      <c r="D838" s="30">
        <v>141.85</v>
      </c>
      <c r="E838" s="40"/>
      <c r="F838" s="30">
        <f t="shared" ref="F838:F843" si="50">B838+D838</f>
        <v>15191.85</v>
      </c>
      <c r="H838" s="7"/>
      <c r="I838" s="7"/>
      <c r="J838" s="7"/>
      <c r="K838" s="7"/>
      <c r="L838" s="7">
        <v>170.2</v>
      </c>
      <c r="M838" s="7">
        <v>158.15</v>
      </c>
      <c r="R838" s="40"/>
      <c r="S838" s="40"/>
      <c r="T838" s="40">
        <v>15098.1</v>
      </c>
      <c r="U838" s="40"/>
      <c r="W838" s="63">
        <v>0.54097222222222219</v>
      </c>
      <c r="X838" s="30">
        <v>95.1</v>
      </c>
      <c r="Y838" s="30">
        <v>102</v>
      </c>
    </row>
    <row r="839" spans="2:25" x14ac:dyDescent="0.3">
      <c r="B839" s="26">
        <f>B840-50</f>
        <v>15100</v>
      </c>
      <c r="C839" s="30">
        <v>123.55</v>
      </c>
      <c r="D839" s="30">
        <v>116.65</v>
      </c>
      <c r="E839" s="40"/>
      <c r="F839" s="30">
        <f t="shared" si="50"/>
        <v>15216.65</v>
      </c>
      <c r="H839" s="7"/>
      <c r="I839" s="7"/>
      <c r="J839" s="7"/>
      <c r="K839" s="7"/>
      <c r="L839" s="7">
        <v>138.94999999999999</v>
      </c>
      <c r="M839" s="7">
        <v>128.05000000000001</v>
      </c>
      <c r="T839" s="40">
        <v>15158.1</v>
      </c>
      <c r="U839" s="40"/>
      <c r="W839" s="63">
        <v>6.1805555555555558E-2</v>
      </c>
      <c r="X839" s="30">
        <v>100.7</v>
      </c>
      <c r="Y839" s="30">
        <v>96.4</v>
      </c>
    </row>
    <row r="840" spans="2:25" x14ac:dyDescent="0.3">
      <c r="B840" s="26">
        <v>15150</v>
      </c>
      <c r="C840" s="30">
        <v>99.15</v>
      </c>
      <c r="D840" s="7">
        <v>94.65</v>
      </c>
      <c r="E840" s="40"/>
      <c r="F840" s="30">
        <f t="shared" si="50"/>
        <v>15244.65</v>
      </c>
      <c r="H840" s="7"/>
      <c r="I840" s="7"/>
      <c r="J840" s="7"/>
      <c r="K840" s="7"/>
      <c r="L840" s="7">
        <v>110.85</v>
      </c>
      <c r="M840" s="7">
        <v>101.7</v>
      </c>
      <c r="W840" s="63">
        <v>8.2638888888888887E-2</v>
      </c>
      <c r="X840" s="30">
        <v>110.85</v>
      </c>
      <c r="Y840" s="30">
        <v>83</v>
      </c>
    </row>
    <row r="841" spans="2:25" x14ac:dyDescent="0.3">
      <c r="B841" s="26">
        <f>B840+50</f>
        <v>15200</v>
      </c>
      <c r="C841" s="30">
        <v>77.75</v>
      </c>
      <c r="D841" s="23">
        <v>75.95</v>
      </c>
      <c r="E841" s="40"/>
      <c r="F841" s="50">
        <f t="shared" si="50"/>
        <v>15275.95</v>
      </c>
      <c r="H841" s="7"/>
      <c r="I841" s="7"/>
      <c r="J841" s="7"/>
      <c r="K841" s="7"/>
      <c r="L841" s="7">
        <v>86.15</v>
      </c>
      <c r="M841" s="7">
        <v>78.599999999999994</v>
      </c>
    </row>
    <row r="842" spans="2:25" x14ac:dyDescent="0.3">
      <c r="B842" s="72">
        <f>B841+50</f>
        <v>15250</v>
      </c>
      <c r="C842" s="51">
        <v>59.7</v>
      </c>
      <c r="D842" s="30">
        <v>60</v>
      </c>
      <c r="E842" s="40"/>
      <c r="F842" s="30">
        <f t="shared" si="50"/>
        <v>15310</v>
      </c>
      <c r="H842" s="7"/>
      <c r="I842" s="7"/>
      <c r="J842" s="7"/>
      <c r="K842" s="7"/>
      <c r="L842" s="7">
        <v>65.7</v>
      </c>
      <c r="M842" s="7">
        <v>59.2</v>
      </c>
      <c r="Q842" s="133" t="s">
        <v>72</v>
      </c>
      <c r="R842" s="134"/>
      <c r="S842" s="135"/>
      <c r="W842" s="34" t="s">
        <v>68</v>
      </c>
      <c r="X842" s="56" t="s">
        <v>69</v>
      </c>
      <c r="Y842" s="57" t="s">
        <v>70</v>
      </c>
    </row>
    <row r="843" spans="2:25" x14ac:dyDescent="0.3">
      <c r="B843" s="26">
        <f>B842+50</f>
        <v>15300</v>
      </c>
      <c r="C843" s="30">
        <v>44.7</v>
      </c>
      <c r="D843" s="30">
        <v>46.4</v>
      </c>
      <c r="E843" s="40"/>
      <c r="F843" s="30">
        <f t="shared" si="50"/>
        <v>15346.4</v>
      </c>
      <c r="H843" s="7"/>
      <c r="I843" s="7"/>
      <c r="J843" s="7"/>
      <c r="K843" s="7"/>
      <c r="L843" s="7">
        <v>48.9</v>
      </c>
      <c r="M843" s="7">
        <v>43.6</v>
      </c>
      <c r="Q843" s="30"/>
      <c r="R843" s="73">
        <v>225</v>
      </c>
      <c r="S843" s="30">
        <f>R843*Q843</f>
        <v>0</v>
      </c>
      <c r="W843" s="63">
        <v>0.41597222222222219</v>
      </c>
      <c r="X843" s="30">
        <v>59.7</v>
      </c>
      <c r="Y843" s="30">
        <v>81</v>
      </c>
    </row>
    <row r="844" spans="2:25" x14ac:dyDescent="0.3">
      <c r="D844" s="40"/>
      <c r="E844" s="40">
        <f>F844-(G844-F844)</f>
        <v>60.449999999999989</v>
      </c>
      <c r="F844" s="40">
        <f>AVERAGE(C841,C851)</f>
        <v>79.375</v>
      </c>
      <c r="G844" s="40">
        <f>AVERAGE(C840,C850)</f>
        <v>98.300000000000011</v>
      </c>
      <c r="H844" s="17"/>
      <c r="I844" s="17"/>
      <c r="J844" s="17"/>
      <c r="K844" s="76"/>
      <c r="L844" s="17"/>
      <c r="M844" s="17"/>
      <c r="Q844" s="30"/>
      <c r="R844" s="73"/>
      <c r="S844" s="30">
        <f>R844*Q844</f>
        <v>0</v>
      </c>
      <c r="W844" s="63">
        <v>0.4368055555555555</v>
      </c>
      <c r="X844" s="30">
        <v>65.900000000000006</v>
      </c>
      <c r="Y844" s="30">
        <v>69.650000000000006</v>
      </c>
    </row>
    <row r="845" spans="2:25" x14ac:dyDescent="0.3">
      <c r="C845" s="64">
        <v>43872</v>
      </c>
      <c r="E845" s="40"/>
      <c r="F845" s="40"/>
      <c r="G845" s="40"/>
      <c r="H845" s="66"/>
      <c r="I845" s="66"/>
      <c r="J845" s="66"/>
      <c r="K845" s="66"/>
      <c r="L845" s="66">
        <v>8.3333333333333329E-2</v>
      </c>
      <c r="M845" s="66">
        <v>0.13541666666666666</v>
      </c>
      <c r="Q845" s="30"/>
      <c r="R845" s="73"/>
      <c r="S845" s="30">
        <f>R845*Q845</f>
        <v>0</v>
      </c>
      <c r="W845" s="63">
        <v>0.45763888888888887</v>
      </c>
      <c r="X845" s="30">
        <v>63.5</v>
      </c>
      <c r="Y845" s="30">
        <v>70.05</v>
      </c>
    </row>
    <row r="846" spans="2:25" x14ac:dyDescent="0.3">
      <c r="B846" s="34" t="s">
        <v>68</v>
      </c>
      <c r="C846" s="63">
        <v>0.41666666666666669</v>
      </c>
      <c r="D846" s="63">
        <v>0.41319444444444442</v>
      </c>
      <c r="E846" s="40">
        <f>F846-(G846-F846)</f>
        <v>67.124999999999986</v>
      </c>
      <c r="F846" s="40">
        <f>AVERAGE(C850,C841)</f>
        <v>87.6</v>
      </c>
      <c r="G846" s="40">
        <f>AVERAGE(C849,C840)</f>
        <v>108.075</v>
      </c>
      <c r="H846" s="7"/>
      <c r="I846" s="7"/>
      <c r="J846" s="7"/>
      <c r="K846" s="7"/>
      <c r="L846" s="7">
        <v>15149.6</v>
      </c>
      <c r="M846" s="7">
        <v>15126.8</v>
      </c>
      <c r="Q846" s="30">
        <f>S846/R846</f>
        <v>0</v>
      </c>
      <c r="R846" s="73">
        <f>SUM(R843:R845)</f>
        <v>225</v>
      </c>
      <c r="S846" s="30">
        <f>SUM(S843:S845)</f>
        <v>0</v>
      </c>
      <c r="V846" s="40"/>
      <c r="W846" s="63">
        <v>0.47847222222222219</v>
      </c>
      <c r="X846" s="30">
        <v>60.45</v>
      </c>
      <c r="Y846" s="30">
        <v>72.599999999999994</v>
      </c>
    </row>
    <row r="847" spans="2:25" x14ac:dyDescent="0.3">
      <c r="B847" s="26">
        <f>B848+50</f>
        <v>15150</v>
      </c>
      <c r="C847" s="30">
        <v>164.8</v>
      </c>
      <c r="D847" s="30">
        <v>163.65</v>
      </c>
      <c r="E847" s="40"/>
      <c r="F847" s="30">
        <f t="shared" ref="F847:F852" si="51">B847-D847</f>
        <v>14986.35</v>
      </c>
      <c r="H847" s="7"/>
      <c r="I847" s="7"/>
      <c r="J847" s="7"/>
      <c r="K847" s="7"/>
      <c r="L847" s="7">
        <v>123.5</v>
      </c>
      <c r="M847" s="7">
        <v>136.75</v>
      </c>
      <c r="P847" s="50">
        <f>S852</f>
        <v>0</v>
      </c>
      <c r="Q847" s="57" t="s">
        <v>72</v>
      </c>
      <c r="S847" s="57" t="s">
        <v>73</v>
      </c>
      <c r="T847" s="23">
        <f>((X844+Y844)-(X852+Y852))</f>
        <v>15.200000000000017</v>
      </c>
      <c r="U847" s="23"/>
      <c r="V847" s="50">
        <f>T847*225</f>
        <v>3420.0000000000036</v>
      </c>
      <c r="W847" s="63">
        <v>0.4993055555555555</v>
      </c>
      <c r="X847" s="30">
        <v>62.9</v>
      </c>
      <c r="Y847" s="30">
        <v>69</v>
      </c>
    </row>
    <row r="848" spans="2:25" x14ac:dyDescent="0.3">
      <c r="B848" s="26">
        <f>B849+50</f>
        <v>15100</v>
      </c>
      <c r="C848" s="30">
        <v>139.35</v>
      </c>
      <c r="D848" s="30">
        <v>137.94999999999999</v>
      </c>
      <c r="E848" s="40"/>
      <c r="F848" s="30">
        <f t="shared" si="51"/>
        <v>14962.05</v>
      </c>
      <c r="H848" s="7"/>
      <c r="I848" s="7"/>
      <c r="J848" s="7"/>
      <c r="K848" s="7"/>
      <c r="L848" s="7">
        <v>100.9</v>
      </c>
      <c r="M848" s="7">
        <v>112.7</v>
      </c>
      <c r="Q848" s="30"/>
      <c r="R848" s="73">
        <v>225</v>
      </c>
      <c r="S848" s="30">
        <f>R848*Q848</f>
        <v>0</v>
      </c>
      <c r="W848" s="63">
        <v>0.52013888888888882</v>
      </c>
      <c r="X848" s="30">
        <v>50.45</v>
      </c>
      <c r="Y848" s="30">
        <v>80.95</v>
      </c>
    </row>
    <row r="849" spans="2:25" x14ac:dyDescent="0.3">
      <c r="B849" s="26">
        <v>15050</v>
      </c>
      <c r="C849" s="30">
        <v>117</v>
      </c>
      <c r="D849" s="7">
        <v>114.85</v>
      </c>
      <c r="E849" s="40"/>
      <c r="F849" s="30">
        <f t="shared" si="51"/>
        <v>14935.15</v>
      </c>
      <c r="H849" s="7"/>
      <c r="I849" s="7"/>
      <c r="J849" s="7"/>
      <c r="K849" s="7"/>
      <c r="L849" s="7">
        <v>83</v>
      </c>
      <c r="M849" s="7">
        <v>92.5</v>
      </c>
      <c r="Q849" s="30"/>
      <c r="R849" s="73"/>
      <c r="S849" s="30">
        <f>R849*Q849</f>
        <v>0</v>
      </c>
      <c r="T849" s="40"/>
      <c r="U849" s="40"/>
      <c r="V849" s="40"/>
      <c r="W849" s="63">
        <v>0.54097222222222219</v>
      </c>
      <c r="X849" s="30">
        <v>54.2</v>
      </c>
      <c r="Y849" s="30">
        <v>69.5</v>
      </c>
    </row>
    <row r="850" spans="2:25" x14ac:dyDescent="0.3">
      <c r="B850" s="26">
        <f>B849-50</f>
        <v>15000</v>
      </c>
      <c r="C850" s="30">
        <v>97.45</v>
      </c>
      <c r="D850" s="23">
        <v>96.15</v>
      </c>
      <c r="E850" s="40"/>
      <c r="F850" s="50">
        <f t="shared" si="51"/>
        <v>14903.85</v>
      </c>
      <c r="H850" s="7"/>
      <c r="I850" s="7"/>
      <c r="J850" s="7"/>
      <c r="K850" s="7"/>
      <c r="L850" s="7">
        <v>67.7</v>
      </c>
      <c r="M850" s="7">
        <v>75.25</v>
      </c>
      <c r="Q850" s="30"/>
      <c r="R850" s="73"/>
      <c r="S850" s="30">
        <f>R850*Q850</f>
        <v>0</v>
      </c>
      <c r="T850" s="40"/>
      <c r="U850" s="40"/>
      <c r="V850" s="40"/>
      <c r="W850" s="63">
        <v>6.1805555555555558E-2</v>
      </c>
      <c r="X850" s="30">
        <v>58.8</v>
      </c>
      <c r="Y850" s="30">
        <v>65.400000000000006</v>
      </c>
    </row>
    <row r="851" spans="2:25" x14ac:dyDescent="0.3">
      <c r="B851" s="72">
        <f>B850-50</f>
        <v>14950</v>
      </c>
      <c r="C851" s="51">
        <v>81</v>
      </c>
      <c r="D851" s="7">
        <v>80.05</v>
      </c>
      <c r="E851" s="40"/>
      <c r="F851" s="30">
        <f t="shared" si="51"/>
        <v>14869.95</v>
      </c>
      <c r="H851" s="7"/>
      <c r="I851" s="7"/>
      <c r="J851" s="7"/>
      <c r="K851" s="7"/>
      <c r="L851" s="7">
        <v>55</v>
      </c>
      <c r="M851" s="7">
        <v>61.15</v>
      </c>
      <c r="Q851" s="30">
        <f>S851/R851</f>
        <v>0</v>
      </c>
      <c r="R851" s="73">
        <f>SUM(R848:R850)</f>
        <v>225</v>
      </c>
      <c r="S851" s="30">
        <f>SUM(S848:S850)</f>
        <v>0</v>
      </c>
      <c r="W851" s="63">
        <v>8.2638888888888887E-2</v>
      </c>
      <c r="X851" s="30">
        <v>65.7</v>
      </c>
      <c r="Y851" s="30">
        <v>55</v>
      </c>
    </row>
    <row r="852" spans="2:25" x14ac:dyDescent="0.3">
      <c r="B852" s="26">
        <f>B851-50</f>
        <v>14900</v>
      </c>
      <c r="C852" s="30">
        <v>67</v>
      </c>
      <c r="D852" s="30">
        <v>66.05</v>
      </c>
      <c r="E852" s="40"/>
      <c r="F852" s="30">
        <f t="shared" si="51"/>
        <v>14833.95</v>
      </c>
      <c r="H852" s="7"/>
      <c r="I852" s="7"/>
      <c r="J852" s="7"/>
      <c r="K852" s="7"/>
      <c r="L852" s="7">
        <v>45</v>
      </c>
      <c r="M852" s="7">
        <v>49.95</v>
      </c>
      <c r="Q852" s="136" t="e">
        <f>S852/(R846-R851)</f>
        <v>#DIV/0!</v>
      </c>
      <c r="R852" s="137"/>
      <c r="S852" s="30">
        <f>S851-S846</f>
        <v>0</v>
      </c>
      <c r="W852" s="63">
        <v>0.13541666666666666</v>
      </c>
      <c r="X852" s="30">
        <v>59.2</v>
      </c>
      <c r="Y852" s="30">
        <v>61.15</v>
      </c>
    </row>
    <row r="864" spans="2:25" x14ac:dyDescent="0.3">
      <c r="B864" s="40"/>
      <c r="C864" s="50">
        <f>B865+E865</f>
        <v>15224.8</v>
      </c>
      <c r="D864" s="51">
        <f>C864+E865</f>
        <v>15284.8</v>
      </c>
      <c r="E864" s="21"/>
      <c r="F864" s="21"/>
      <c r="H864" s="52" t="str">
        <f>IF((C873-D873)&gt;(C882-D882),"LONG",IF(C882&gt;D880,"LONG","SHORT"))</f>
        <v>LONG</v>
      </c>
      <c r="I864" s="138" t="s">
        <v>98</v>
      </c>
      <c r="J864" s="139"/>
      <c r="K864" s="140"/>
      <c r="L864" s="53">
        <f>AVERAGE(L865:L866)</f>
        <v>145.94999999999999</v>
      </c>
      <c r="Q864" s="54">
        <v>0.39166666666666666</v>
      </c>
      <c r="R864" s="54">
        <v>0.39861111111111108</v>
      </c>
      <c r="S864" s="54">
        <v>0.4055555555555555</v>
      </c>
      <c r="T864" s="54">
        <v>0.41250000000000003</v>
      </c>
      <c r="U864" s="55"/>
      <c r="W864" s="34" t="s">
        <v>68</v>
      </c>
      <c r="X864" s="56" t="s">
        <v>69</v>
      </c>
      <c r="Y864" s="57" t="s">
        <v>70</v>
      </c>
    </row>
    <row r="865" spans="2:25" x14ac:dyDescent="0.3">
      <c r="B865" s="50">
        <v>15164.8</v>
      </c>
      <c r="C865" s="40"/>
      <c r="D865" s="58"/>
      <c r="E865" s="59">
        <f>ROUND((((B865*F865%)/4)/10),0)*10</f>
        <v>60</v>
      </c>
      <c r="F865" s="51">
        <v>1.6</v>
      </c>
      <c r="H865" s="60" t="s">
        <v>69</v>
      </c>
      <c r="I865" s="61">
        <f>AVERAGE(C882,C871)</f>
        <v>120.3</v>
      </c>
      <c r="J865" s="61">
        <f>AVERAGE(C882,C872)</f>
        <v>105.05</v>
      </c>
      <c r="K865" s="61">
        <f>AVERAGE(C882,C873)</f>
        <v>91.85</v>
      </c>
      <c r="L865" s="61">
        <f>C871</f>
        <v>137</v>
      </c>
      <c r="Q865" s="51"/>
      <c r="R865" s="51">
        <v>15178.5</v>
      </c>
      <c r="S865" s="51">
        <v>15162.75</v>
      </c>
      <c r="T865" s="51">
        <v>15143.15</v>
      </c>
      <c r="U865" s="62"/>
      <c r="W865" s="63">
        <v>0.41597222222222219</v>
      </c>
      <c r="X865" s="30">
        <v>80.099999999999994</v>
      </c>
      <c r="Y865" s="30">
        <v>103.6</v>
      </c>
    </row>
    <row r="866" spans="2:25" x14ac:dyDescent="0.3">
      <c r="B866" s="40"/>
      <c r="C866" s="50">
        <f>B865-E865</f>
        <v>15104.8</v>
      </c>
      <c r="D866" s="51">
        <f>C866-E865</f>
        <v>15044.8</v>
      </c>
      <c r="E866" s="21"/>
      <c r="F866" s="21"/>
      <c r="H866" s="60" t="s">
        <v>70</v>
      </c>
      <c r="I866" s="61">
        <f>AVERAGE(C873,C880)</f>
        <v>117.5</v>
      </c>
      <c r="J866" s="61">
        <f>AVERAGE(C873,C881)</f>
        <v>103.9</v>
      </c>
      <c r="K866" s="61">
        <f>AVERAGE(C873,C882)</f>
        <v>91.85</v>
      </c>
      <c r="L866" s="61">
        <f>C880</f>
        <v>154.9</v>
      </c>
      <c r="W866" s="63">
        <v>0.4368055555555555</v>
      </c>
      <c r="X866" s="30">
        <v>86.75</v>
      </c>
      <c r="Y866" s="30">
        <v>90.45</v>
      </c>
    </row>
    <row r="867" spans="2:25" x14ac:dyDescent="0.3">
      <c r="F867" s="40"/>
      <c r="G867" s="40"/>
      <c r="K867" s="40"/>
      <c r="W867" s="63">
        <v>0.45763888888888887</v>
      </c>
      <c r="X867" s="30">
        <v>97.65</v>
      </c>
      <c r="Y867" s="30">
        <v>82.75</v>
      </c>
    </row>
    <row r="868" spans="2:25" x14ac:dyDescent="0.3">
      <c r="B868" s="40"/>
      <c r="J868" s="144" t="s">
        <v>99</v>
      </c>
      <c r="K868" s="144"/>
      <c r="W868" s="63">
        <v>0.47847222222222219</v>
      </c>
      <c r="X868" s="30">
        <v>116.35</v>
      </c>
      <c r="Y868" s="30">
        <v>75.349999999999994</v>
      </c>
    </row>
    <row r="869" spans="2:25" x14ac:dyDescent="0.3">
      <c r="C869" s="64">
        <v>44236</v>
      </c>
      <c r="F869" s="30">
        <f>AVERAGE(F871,F880)</f>
        <v>15163.5</v>
      </c>
      <c r="G869" s="65"/>
      <c r="H869" s="66">
        <v>0.50694444444444442</v>
      </c>
      <c r="I869" s="66">
        <v>6.8749999999999992E-2</v>
      </c>
      <c r="J869" s="66">
        <v>0.11666666666666665</v>
      </c>
      <c r="K869" s="66">
        <v>0.11805555555555557</v>
      </c>
      <c r="L869" s="66">
        <v>0.12708333333333333</v>
      </c>
      <c r="M869" s="66">
        <v>0.13541666666666666</v>
      </c>
      <c r="Q869" s="132" t="s">
        <v>71</v>
      </c>
      <c r="R869" s="132"/>
      <c r="S869" s="132" t="s">
        <v>37</v>
      </c>
      <c r="T869" s="132"/>
      <c r="U869" s="69"/>
      <c r="W869" s="63">
        <v>0.4993055555555555</v>
      </c>
      <c r="X869" s="30">
        <v>115.15</v>
      </c>
      <c r="Y869" s="30">
        <v>74.7</v>
      </c>
    </row>
    <row r="870" spans="2:25" x14ac:dyDescent="0.3">
      <c r="B870" s="34" t="s">
        <v>68</v>
      </c>
      <c r="C870" s="63">
        <v>0.41666666666666669</v>
      </c>
      <c r="D870" s="63">
        <v>0.41319444444444442</v>
      </c>
      <c r="H870" s="23">
        <v>52.8</v>
      </c>
      <c r="I870" s="7">
        <v>15249</v>
      </c>
      <c r="J870" s="7">
        <v>15146.95</v>
      </c>
      <c r="K870" s="7">
        <v>15148</v>
      </c>
      <c r="L870" s="7">
        <v>15091</v>
      </c>
      <c r="M870" s="7">
        <v>15112</v>
      </c>
      <c r="Q870" s="61">
        <f>R870-(S870-R870)</f>
        <v>0</v>
      </c>
      <c r="R870" s="61"/>
      <c r="S870" s="61"/>
      <c r="T870" s="61">
        <f>S870+(S870-R870)</f>
        <v>0</v>
      </c>
      <c r="U870" s="71"/>
      <c r="W870" s="63">
        <v>0.52013888888888882</v>
      </c>
      <c r="X870" s="30">
        <v>108.25</v>
      </c>
      <c r="Y870" s="30">
        <v>76.45</v>
      </c>
    </row>
    <row r="871" spans="2:25" x14ac:dyDescent="0.3">
      <c r="B871" s="26">
        <f>B872-50</f>
        <v>15100</v>
      </c>
      <c r="C871" s="30">
        <v>137</v>
      </c>
      <c r="D871" s="30">
        <v>125.5</v>
      </c>
      <c r="E871" s="40"/>
      <c r="F871" s="30">
        <f t="shared" ref="F871:F876" si="52">B871+D871</f>
        <v>15225.5</v>
      </c>
      <c r="H871" s="7">
        <v>162.94999999999999</v>
      </c>
      <c r="I871" s="7">
        <v>186.75</v>
      </c>
      <c r="J871" s="7">
        <v>124.55</v>
      </c>
      <c r="K871" s="7">
        <v>129.15</v>
      </c>
      <c r="L871" s="7">
        <v>102.95</v>
      </c>
      <c r="M871" s="7">
        <v>105.75</v>
      </c>
      <c r="R871" s="40"/>
      <c r="S871" s="40"/>
      <c r="T871" s="40">
        <v>15164.8</v>
      </c>
      <c r="U871" s="40"/>
      <c r="W871" s="63">
        <v>0.54097222222222219</v>
      </c>
      <c r="X871" s="30">
        <v>111.7</v>
      </c>
      <c r="Y871" s="30">
        <v>73.2</v>
      </c>
    </row>
    <row r="872" spans="2:25" x14ac:dyDescent="0.3">
      <c r="B872" s="26">
        <f>B873-50</f>
        <v>15150</v>
      </c>
      <c r="C872" s="30">
        <v>106.5</v>
      </c>
      <c r="D872" s="30">
        <v>96.75</v>
      </c>
      <c r="E872" s="40"/>
      <c r="F872" s="30">
        <f t="shared" si="52"/>
        <v>15246.75</v>
      </c>
      <c r="H872" s="7">
        <v>130</v>
      </c>
      <c r="I872" s="7">
        <v>150.6</v>
      </c>
      <c r="J872" s="7">
        <v>96.75</v>
      </c>
      <c r="K872" s="7">
        <v>100.25</v>
      </c>
      <c r="L872" s="7">
        <v>78.650000000000006</v>
      </c>
      <c r="M872" s="7">
        <v>80.2</v>
      </c>
      <c r="T872" s="40">
        <v>15224.8</v>
      </c>
      <c r="U872" s="40"/>
      <c r="W872" s="63">
        <v>6.1805555555555558E-2</v>
      </c>
      <c r="X872" s="30">
        <v>111.7</v>
      </c>
      <c r="Y872" s="30">
        <v>68.849999999999994</v>
      </c>
    </row>
    <row r="873" spans="2:25" x14ac:dyDescent="0.3">
      <c r="B873" s="79">
        <v>15200</v>
      </c>
      <c r="C873" s="30">
        <v>80.099999999999994</v>
      </c>
      <c r="D873" s="7">
        <v>72.400000000000006</v>
      </c>
      <c r="E873" s="40"/>
      <c r="F873" s="30">
        <f t="shared" si="52"/>
        <v>15272.4</v>
      </c>
      <c r="H873" s="7">
        <v>101.1</v>
      </c>
      <c r="I873" s="7">
        <v>117.75</v>
      </c>
      <c r="J873" s="7">
        <v>71.75</v>
      </c>
      <c r="K873" s="7">
        <v>75.7</v>
      </c>
      <c r="L873" s="7">
        <v>58.1</v>
      </c>
      <c r="M873" s="7">
        <v>58.55</v>
      </c>
      <c r="T873" s="40">
        <v>15104.8</v>
      </c>
      <c r="U873" s="40"/>
      <c r="W873" s="63">
        <v>8.2638888888888887E-2</v>
      </c>
      <c r="X873" s="30">
        <v>116.2</v>
      </c>
      <c r="Y873" s="30">
        <v>61.8</v>
      </c>
    </row>
    <row r="874" spans="2:25" x14ac:dyDescent="0.3">
      <c r="B874" s="26">
        <f>B873+50</f>
        <v>15250</v>
      </c>
      <c r="C874" s="30">
        <v>57.9</v>
      </c>
      <c r="D874" s="23">
        <v>51.7</v>
      </c>
      <c r="E874" s="40"/>
      <c r="F874" s="50">
        <f t="shared" si="52"/>
        <v>15301.7</v>
      </c>
      <c r="H874" s="7">
        <v>75.5</v>
      </c>
      <c r="I874" s="7">
        <v>88.85</v>
      </c>
      <c r="J874" s="7">
        <v>51.75</v>
      </c>
      <c r="K874" s="7">
        <v>55.4</v>
      </c>
      <c r="L874" s="7">
        <v>40.65</v>
      </c>
      <c r="M874" s="7">
        <v>41.05</v>
      </c>
    </row>
    <row r="875" spans="2:25" x14ac:dyDescent="0.3">
      <c r="B875" s="72">
        <f>B874+50</f>
        <v>15300</v>
      </c>
      <c r="C875" s="51">
        <v>39.950000000000003</v>
      </c>
      <c r="D875" s="30">
        <v>35.450000000000003</v>
      </c>
      <c r="E875" s="40"/>
      <c r="F875" s="30">
        <f t="shared" si="52"/>
        <v>15335.45</v>
      </c>
      <c r="H875" s="7">
        <v>54.45</v>
      </c>
      <c r="I875" s="7">
        <v>64.2</v>
      </c>
      <c r="J875" s="7">
        <v>35.4</v>
      </c>
      <c r="K875" s="7">
        <v>38.25</v>
      </c>
      <c r="L875" s="7">
        <v>27.5</v>
      </c>
      <c r="M875" s="7">
        <v>27.55</v>
      </c>
      <c r="Q875" s="133" t="s">
        <v>72</v>
      </c>
      <c r="R875" s="134"/>
      <c r="S875" s="135"/>
      <c r="W875" s="34" t="s">
        <v>68</v>
      </c>
      <c r="X875" s="56" t="s">
        <v>69</v>
      </c>
      <c r="Y875" s="57" t="s">
        <v>70</v>
      </c>
    </row>
    <row r="876" spans="2:25" x14ac:dyDescent="0.3">
      <c r="B876" s="26">
        <f>B875+50</f>
        <v>15350</v>
      </c>
      <c r="C876" s="30">
        <v>26.95</v>
      </c>
      <c r="D876" s="30">
        <v>23.5</v>
      </c>
      <c r="E876" s="40"/>
      <c r="F876" s="30">
        <f t="shared" si="52"/>
        <v>15373.5</v>
      </c>
      <c r="H876" s="7">
        <v>37.6</v>
      </c>
      <c r="I876" s="7">
        <v>44.3</v>
      </c>
      <c r="J876" s="7">
        <v>23.2</v>
      </c>
      <c r="K876" s="7">
        <v>25.3</v>
      </c>
      <c r="L876" s="7">
        <v>18</v>
      </c>
      <c r="M876" s="7">
        <v>17.8</v>
      </c>
      <c r="Q876" s="30">
        <v>62.5</v>
      </c>
      <c r="R876" s="73">
        <v>75</v>
      </c>
      <c r="S876" s="30">
        <f>R876*Q876</f>
        <v>4687.5</v>
      </c>
      <c r="W876" s="63">
        <v>0.41597222222222219</v>
      </c>
      <c r="X876" s="30">
        <v>39.950000000000003</v>
      </c>
      <c r="Y876" s="30">
        <v>67.25</v>
      </c>
    </row>
    <row r="877" spans="2:25" x14ac:dyDescent="0.3">
      <c r="D877" s="40"/>
      <c r="E877" s="40">
        <f>F877-(G877-F877)</f>
        <v>43.100000000000009</v>
      </c>
      <c r="F877" s="40">
        <f>AVERAGE(C874,C884)</f>
        <v>62.575000000000003</v>
      </c>
      <c r="G877" s="40">
        <f>AVERAGE(C873,C883)</f>
        <v>82.05</v>
      </c>
      <c r="H877" s="17"/>
      <c r="I877" s="17"/>
      <c r="J877" s="17"/>
      <c r="K877" s="76"/>
      <c r="L877" s="17"/>
      <c r="M877" s="17"/>
      <c r="Q877" s="30">
        <v>62.5</v>
      </c>
      <c r="R877" s="73">
        <v>75</v>
      </c>
      <c r="S877" s="30">
        <f>R877*Q877</f>
        <v>4687.5</v>
      </c>
      <c r="W877" s="63">
        <v>0.4368055555555555</v>
      </c>
      <c r="X877" s="30">
        <v>43.65</v>
      </c>
      <c r="Y877" s="30">
        <v>57.15</v>
      </c>
    </row>
    <row r="878" spans="2:25" x14ac:dyDescent="0.3">
      <c r="C878" s="64">
        <v>43872</v>
      </c>
      <c r="E878" s="40">
        <f>AVERAGE(E879,F879)</f>
        <v>70.55</v>
      </c>
      <c r="F878" s="40">
        <f>AVERAGE(E877,F877)</f>
        <v>52.837500000000006</v>
      </c>
      <c r="G878" s="40"/>
      <c r="H878" s="66">
        <v>0.50694444444444442</v>
      </c>
      <c r="I878" s="66">
        <v>6.8749999999999992E-2</v>
      </c>
      <c r="J878" s="66">
        <v>0.11666666666666665</v>
      </c>
      <c r="K878" s="66">
        <v>0.11805555555555557</v>
      </c>
      <c r="L878" s="66">
        <v>0.12708333333333333</v>
      </c>
      <c r="M878" s="66">
        <v>0.13541666666666666</v>
      </c>
      <c r="Q878" s="30"/>
      <c r="R878" s="73"/>
      <c r="S878" s="30">
        <f>R878*Q878</f>
        <v>0</v>
      </c>
      <c r="W878" s="63">
        <v>0.45763888888888887</v>
      </c>
      <c r="X878" s="30">
        <v>51</v>
      </c>
      <c r="Y878" s="30">
        <v>52.6</v>
      </c>
    </row>
    <row r="879" spans="2:25" x14ac:dyDescent="0.3">
      <c r="B879" s="34" t="s">
        <v>68</v>
      </c>
      <c r="C879" s="63">
        <v>0.41666666666666669</v>
      </c>
      <c r="D879" s="63">
        <v>0.39652777777777781</v>
      </c>
      <c r="E879" s="40">
        <f>F879-(G879-F879)</f>
        <v>59.05</v>
      </c>
      <c r="F879" s="40">
        <f>AVERAGE(C883,C873)</f>
        <v>82.05</v>
      </c>
      <c r="G879" s="40">
        <f>AVERAGE(C882,C872)</f>
        <v>105.05</v>
      </c>
      <c r="H879" s="7">
        <v>15207.45</v>
      </c>
      <c r="I879" s="23">
        <v>38.200000000000003</v>
      </c>
      <c r="J879" s="23">
        <v>67.25</v>
      </c>
      <c r="K879" s="23">
        <v>70.55</v>
      </c>
      <c r="L879" s="7">
        <v>105.05</v>
      </c>
      <c r="M879" s="7">
        <v>15112</v>
      </c>
      <c r="Q879" s="30"/>
      <c r="R879" s="73"/>
      <c r="S879" s="30">
        <f>SUM(S876:S878)</f>
        <v>9375</v>
      </c>
      <c r="V879" s="40"/>
      <c r="W879" s="63">
        <v>0.47847222222222219</v>
      </c>
      <c r="X879" s="30">
        <v>65</v>
      </c>
      <c r="Y879" s="30">
        <v>48.4</v>
      </c>
    </row>
    <row r="880" spans="2:25" x14ac:dyDescent="0.3">
      <c r="B880" s="26">
        <f>B881+50</f>
        <v>15250</v>
      </c>
      <c r="C880" s="30">
        <v>154.9</v>
      </c>
      <c r="D880" s="30">
        <v>148.5</v>
      </c>
      <c r="E880" s="40"/>
      <c r="F880" s="30">
        <f t="shared" ref="F880:F885" si="53">B880-D880</f>
        <v>15101.5</v>
      </c>
      <c r="H880" s="7">
        <v>127.6</v>
      </c>
      <c r="I880" s="7">
        <v>99.25</v>
      </c>
      <c r="J880" s="7">
        <v>166.45</v>
      </c>
      <c r="K880" s="7">
        <v>165.6</v>
      </c>
      <c r="L880" s="7">
        <v>204.85</v>
      </c>
      <c r="M880" s="7">
        <v>187.45</v>
      </c>
      <c r="P880" s="50">
        <f>S885</f>
        <v>-2370</v>
      </c>
      <c r="Q880" s="57" t="s">
        <v>72</v>
      </c>
      <c r="S880" s="57" t="s">
        <v>73</v>
      </c>
      <c r="T880" s="23">
        <f>((X877+Y877)-(X885+Y885))</f>
        <v>9.9999999999994316E-2</v>
      </c>
      <c r="U880" s="23"/>
      <c r="V880" s="50">
        <f>T880*225</f>
        <v>22.499999999998721</v>
      </c>
      <c r="W880" s="63">
        <v>0.4993055555555555</v>
      </c>
      <c r="X880" s="30">
        <v>63.85</v>
      </c>
      <c r="Y880" s="30">
        <v>47.7</v>
      </c>
    </row>
    <row r="881" spans="2:25" x14ac:dyDescent="0.3">
      <c r="B881" s="26">
        <f>B882+50</f>
        <v>15200</v>
      </c>
      <c r="C881" s="30">
        <v>127.7</v>
      </c>
      <c r="D881" s="30">
        <v>121.45</v>
      </c>
      <c r="E881" s="40"/>
      <c r="F881" s="30">
        <f t="shared" si="53"/>
        <v>15078.55</v>
      </c>
      <c r="H881" s="7">
        <v>102.85</v>
      </c>
      <c r="I881" s="7">
        <v>77.400000000000006</v>
      </c>
      <c r="J881" s="7">
        <v>135.1</v>
      </c>
      <c r="K881" s="7">
        <v>135.69999999999999</v>
      </c>
      <c r="L881" s="7">
        <v>174.35</v>
      </c>
      <c r="M881" s="7">
        <v>154.75</v>
      </c>
      <c r="Q881" s="30">
        <v>46.7</v>
      </c>
      <c r="R881" s="73">
        <v>75</v>
      </c>
      <c r="S881" s="30">
        <f>R881*Q881</f>
        <v>3502.5</v>
      </c>
      <c r="W881" s="63">
        <v>0.52013888888888882</v>
      </c>
      <c r="X881" s="30">
        <v>58.6</v>
      </c>
      <c r="Y881" s="30">
        <v>48.45</v>
      </c>
    </row>
    <row r="882" spans="2:25" x14ac:dyDescent="0.3">
      <c r="B882" s="79">
        <v>15150</v>
      </c>
      <c r="C882" s="30">
        <v>103.6</v>
      </c>
      <c r="D882" s="30">
        <v>98.9</v>
      </c>
      <c r="E882" s="40"/>
      <c r="F882" s="30">
        <f t="shared" si="53"/>
        <v>15051.1</v>
      </c>
      <c r="H882" s="7">
        <v>82.25</v>
      </c>
      <c r="I882" s="7">
        <v>60.75</v>
      </c>
      <c r="J882" s="7">
        <v>110.45</v>
      </c>
      <c r="K882" s="7">
        <v>110.3</v>
      </c>
      <c r="L882" s="7">
        <v>145.5</v>
      </c>
      <c r="M882" s="7">
        <v>127.05</v>
      </c>
      <c r="Q882" s="30">
        <v>46.7</v>
      </c>
      <c r="R882" s="73">
        <v>75</v>
      </c>
      <c r="S882" s="30">
        <f>R882*Q882</f>
        <v>3502.5</v>
      </c>
      <c r="T882" s="40"/>
      <c r="U882" s="40"/>
      <c r="V882" s="40"/>
      <c r="W882" s="63">
        <v>0.54097222222222219</v>
      </c>
      <c r="X882" s="30">
        <v>60.85</v>
      </c>
      <c r="Y882" s="30">
        <v>46.3</v>
      </c>
    </row>
    <row r="883" spans="2:25" x14ac:dyDescent="0.3">
      <c r="B883" s="26">
        <f>B882-50</f>
        <v>15100</v>
      </c>
      <c r="C883" s="30">
        <v>84</v>
      </c>
      <c r="D883" s="23">
        <v>80.099999999999994</v>
      </c>
      <c r="E883" s="40"/>
      <c r="F883" s="50">
        <f t="shared" si="53"/>
        <v>15019.9</v>
      </c>
      <c r="H883" s="7">
        <v>65.55</v>
      </c>
      <c r="I883" s="7">
        <v>47.15</v>
      </c>
      <c r="J883" s="7">
        <v>88.6</v>
      </c>
      <c r="K883" s="7">
        <v>89.2</v>
      </c>
      <c r="L883" s="7">
        <v>119.85</v>
      </c>
      <c r="M883" s="7">
        <v>101.35</v>
      </c>
      <c r="Q883" s="30"/>
      <c r="R883" s="73"/>
      <c r="S883" s="30">
        <f>R883*Q883</f>
        <v>0</v>
      </c>
      <c r="T883" s="40"/>
      <c r="U883" s="40"/>
      <c r="V883" s="40"/>
      <c r="W883" s="63">
        <v>6.1805555555555558E-2</v>
      </c>
      <c r="X883" s="30">
        <v>60.7</v>
      </c>
      <c r="Y883" s="30">
        <v>42.45</v>
      </c>
    </row>
    <row r="884" spans="2:25" x14ac:dyDescent="0.3">
      <c r="B884" s="72">
        <f>B883-50</f>
        <v>15050</v>
      </c>
      <c r="C884" s="51">
        <v>67.25</v>
      </c>
      <c r="D884" s="7">
        <v>65.400000000000006</v>
      </c>
      <c r="E884" s="40"/>
      <c r="F884" s="30">
        <f t="shared" si="53"/>
        <v>14984.6</v>
      </c>
      <c r="H884" s="7">
        <v>52.15</v>
      </c>
      <c r="I884" s="7">
        <v>37.299999999999997</v>
      </c>
      <c r="J884" s="7">
        <v>70.150000000000006</v>
      </c>
      <c r="K884" s="7">
        <v>71.3</v>
      </c>
      <c r="L884" s="7">
        <v>99.55</v>
      </c>
      <c r="M884" s="7">
        <v>81.150000000000006</v>
      </c>
      <c r="Q884" s="30">
        <f>S884/R884</f>
        <v>46.7</v>
      </c>
      <c r="R884" s="73">
        <f>SUM(R881:R883)</f>
        <v>150</v>
      </c>
      <c r="S884" s="30">
        <f>SUM(S881:S883)</f>
        <v>7005</v>
      </c>
      <c r="W884" s="63">
        <v>8.2638888888888887E-2</v>
      </c>
      <c r="X884" s="30">
        <v>62.5</v>
      </c>
      <c r="Y884" s="30">
        <v>38</v>
      </c>
    </row>
    <row r="885" spans="2:25" x14ac:dyDescent="0.3">
      <c r="B885" s="26">
        <f>B884-50</f>
        <v>15000</v>
      </c>
      <c r="C885" s="30">
        <v>54.4</v>
      </c>
      <c r="D885" s="7">
        <v>53.5</v>
      </c>
      <c r="E885" s="40"/>
      <c r="F885" s="30">
        <f t="shared" si="53"/>
        <v>14946.5</v>
      </c>
      <c r="H885" s="7">
        <v>41.55</v>
      </c>
      <c r="I885" s="7">
        <v>29.35</v>
      </c>
      <c r="J885" s="7">
        <v>56.65</v>
      </c>
      <c r="K885" s="7">
        <v>57.2</v>
      </c>
      <c r="L885" s="7">
        <v>81.599999999999994</v>
      </c>
      <c r="M885" s="7">
        <v>65.150000000000006</v>
      </c>
      <c r="Q885" s="136">
        <f>S885/(R879-R884)</f>
        <v>15.8</v>
      </c>
      <c r="R885" s="137"/>
      <c r="S885" s="30">
        <f>S884-S879</f>
        <v>-2370</v>
      </c>
      <c r="W885" s="63">
        <v>0.4694444444444445</v>
      </c>
      <c r="X885" s="23">
        <v>62.5</v>
      </c>
      <c r="Y885" s="23">
        <v>38.200000000000003</v>
      </c>
    </row>
    <row r="897" spans="2:25" x14ac:dyDescent="0.3">
      <c r="B897" s="40"/>
      <c r="C897" s="50">
        <f>B898+E898</f>
        <v>15162.5</v>
      </c>
      <c r="D897" s="51">
        <f>C897+E898</f>
        <v>15222.5</v>
      </c>
      <c r="E897" s="21"/>
      <c r="F897" s="21"/>
      <c r="H897" s="52" t="str">
        <f>IF((C906-D906)&gt;(C915-D915),"LONG",IF(C915&gt;D913,"LONG","SHORT"))</f>
        <v>SHORT</v>
      </c>
      <c r="I897" s="138" t="s">
        <v>100</v>
      </c>
      <c r="J897" s="139"/>
      <c r="K897" s="140"/>
      <c r="L897" s="53">
        <f>AVERAGE(L898:L899)</f>
        <v>120.375</v>
      </c>
      <c r="Q897" s="54">
        <v>0.39166666666666666</v>
      </c>
      <c r="R897" s="54">
        <v>0.39861111111111108</v>
      </c>
      <c r="S897" s="54">
        <v>0.4055555555555555</v>
      </c>
      <c r="T897" s="54">
        <v>0.41250000000000003</v>
      </c>
      <c r="U897" s="55"/>
      <c r="W897" s="34" t="s">
        <v>68</v>
      </c>
      <c r="X897" s="56" t="s">
        <v>69</v>
      </c>
      <c r="Y897" s="57" t="s">
        <v>70</v>
      </c>
    </row>
    <row r="898" spans="2:25" x14ac:dyDescent="0.3">
      <c r="B898" s="50">
        <v>15102.5</v>
      </c>
      <c r="C898" s="40"/>
      <c r="D898" s="58"/>
      <c r="E898" s="59">
        <f>ROUND((((B898*F898%)/4)/10),0)*10</f>
        <v>60</v>
      </c>
      <c r="F898" s="51">
        <v>1.55</v>
      </c>
      <c r="H898" s="60" t="s">
        <v>69</v>
      </c>
      <c r="I898" s="61">
        <f>AVERAGE(C915,C904)</f>
        <v>97.375</v>
      </c>
      <c r="J898" s="61">
        <f>AVERAGE(C915,C905)</f>
        <v>82.65</v>
      </c>
      <c r="K898" s="61">
        <f>AVERAGE(C915,C906)</f>
        <v>70.400000000000006</v>
      </c>
      <c r="L898" s="61">
        <f>C904</f>
        <v>119.8</v>
      </c>
      <c r="Q898" s="51">
        <v>15083.5</v>
      </c>
      <c r="R898" s="51">
        <v>15131</v>
      </c>
      <c r="S898" s="51">
        <v>15122.1</v>
      </c>
      <c r="T898" s="51">
        <v>15128.05</v>
      </c>
      <c r="U898" s="62"/>
      <c r="W898" s="63">
        <v>0.41597222222222219</v>
      </c>
      <c r="X898" s="30">
        <v>65.849999999999994</v>
      </c>
      <c r="Y898" s="30">
        <v>74.95</v>
      </c>
    </row>
    <row r="899" spans="2:25" x14ac:dyDescent="0.3">
      <c r="B899" s="40"/>
      <c r="C899" s="50">
        <f>B898-E898</f>
        <v>15042.5</v>
      </c>
      <c r="D899" s="51">
        <f>C899-E898</f>
        <v>14982.5</v>
      </c>
      <c r="E899" s="21"/>
      <c r="F899" s="21"/>
      <c r="H899" s="60" t="s">
        <v>70</v>
      </c>
      <c r="I899" s="61">
        <f>AVERAGE(C906,C913)</f>
        <v>93.4</v>
      </c>
      <c r="J899" s="61">
        <f>AVERAGE(C906,C914)</f>
        <v>80.775000000000006</v>
      </c>
      <c r="K899" s="61">
        <f>AVERAGE(C906,C915)</f>
        <v>70.400000000000006</v>
      </c>
      <c r="L899" s="61">
        <f>C913</f>
        <v>120.95</v>
      </c>
      <c r="W899" s="63">
        <v>0.4368055555555555</v>
      </c>
      <c r="X899" s="30">
        <v>40.15</v>
      </c>
      <c r="Y899" s="30">
        <v>117.7</v>
      </c>
    </row>
    <row r="900" spans="2:25" x14ac:dyDescent="0.3">
      <c r="F900" s="40"/>
      <c r="G900" s="40"/>
      <c r="K900" s="40"/>
      <c r="W900" s="63">
        <v>0.45763888888888887</v>
      </c>
      <c r="X900" s="30">
        <v>48</v>
      </c>
      <c r="Y900" s="30">
        <v>91</v>
      </c>
    </row>
    <row r="901" spans="2:25" x14ac:dyDescent="0.3">
      <c r="B901" s="40"/>
      <c r="J901" s="144" t="s">
        <v>101</v>
      </c>
      <c r="K901" s="144"/>
      <c r="P901" s="40"/>
      <c r="W901" s="63">
        <v>0.47847222222222219</v>
      </c>
      <c r="X901" s="30">
        <v>51.6</v>
      </c>
      <c r="Y901" s="30">
        <v>75.5</v>
      </c>
    </row>
    <row r="902" spans="2:25" x14ac:dyDescent="0.3">
      <c r="C902" s="64">
        <v>44237</v>
      </c>
      <c r="F902" s="30">
        <f>AVERAGE(F904,F913)</f>
        <v>15116</v>
      </c>
      <c r="G902" s="65"/>
      <c r="H902" s="66">
        <v>0.4368055555555555</v>
      </c>
      <c r="I902" s="66">
        <v>0.45833333333333331</v>
      </c>
      <c r="J902" s="66">
        <v>7.0833333333333331E-2</v>
      </c>
      <c r="K902" s="66"/>
      <c r="L902" s="66">
        <v>8.3333333333333329E-2</v>
      </c>
      <c r="M902" s="66">
        <v>0.13541666666666666</v>
      </c>
      <c r="P902" s="40"/>
      <c r="Q902" s="132" t="s">
        <v>71</v>
      </c>
      <c r="R902" s="132"/>
      <c r="S902" s="132" t="s">
        <v>37</v>
      </c>
      <c r="T902" s="132"/>
      <c r="U902" s="69"/>
      <c r="W902" s="63">
        <v>0.4993055555555555</v>
      </c>
      <c r="X902" s="30">
        <v>61.2</v>
      </c>
      <c r="Y902" s="30">
        <v>58.25</v>
      </c>
    </row>
    <row r="903" spans="2:25" x14ac:dyDescent="0.3">
      <c r="B903" s="34" t="s">
        <v>68</v>
      </c>
      <c r="C903" s="63">
        <v>0.41666666666666669</v>
      </c>
      <c r="D903" s="63">
        <v>0.39374999999999999</v>
      </c>
      <c r="H903" s="7">
        <v>15017.55</v>
      </c>
      <c r="I903" s="7">
        <v>15075</v>
      </c>
      <c r="J903" s="23">
        <v>17.7</v>
      </c>
      <c r="K903" s="7"/>
      <c r="L903" s="7">
        <v>15039.45</v>
      </c>
      <c r="M903" s="7">
        <v>15111</v>
      </c>
      <c r="P903" s="40"/>
      <c r="Q903" s="61">
        <f>R903-(S903-R903)</f>
        <v>0</v>
      </c>
      <c r="R903" s="61"/>
      <c r="S903" s="61"/>
      <c r="T903" s="61">
        <f>S903+(S903-R903)</f>
        <v>0</v>
      </c>
      <c r="U903" s="71"/>
      <c r="W903" s="63">
        <v>0.52013888888888882</v>
      </c>
      <c r="X903" s="30">
        <v>56.1</v>
      </c>
      <c r="Y903" s="30">
        <v>64.3</v>
      </c>
    </row>
    <row r="904" spans="2:25" x14ac:dyDescent="0.3">
      <c r="B904" s="26">
        <f>B905-50</f>
        <v>15050</v>
      </c>
      <c r="C904" s="30">
        <v>119.8</v>
      </c>
      <c r="D904" s="30">
        <v>115</v>
      </c>
      <c r="E904" s="40"/>
      <c r="F904" s="30">
        <f t="shared" ref="F904:F909" si="54">B904+D904</f>
        <v>15165</v>
      </c>
      <c r="H904" s="7">
        <v>78.400000000000006</v>
      </c>
      <c r="I904" s="7">
        <v>97.8</v>
      </c>
      <c r="J904" s="7">
        <v>62.4</v>
      </c>
      <c r="K904" s="7"/>
      <c r="L904" s="7">
        <v>70</v>
      </c>
      <c r="M904" s="7">
        <v>102.5</v>
      </c>
      <c r="P904" s="40"/>
      <c r="R904" s="40"/>
      <c r="S904" s="40"/>
      <c r="T904" s="40">
        <v>15102.5</v>
      </c>
      <c r="U904" s="40"/>
      <c r="W904" s="63">
        <v>0.54097222222222219</v>
      </c>
      <c r="X904" s="30">
        <v>49.45</v>
      </c>
      <c r="Y904" s="30">
        <v>71.2</v>
      </c>
    </row>
    <row r="905" spans="2:25" x14ac:dyDescent="0.3">
      <c r="B905" s="26">
        <f>B906-50</f>
        <v>15100</v>
      </c>
      <c r="C905" s="30">
        <v>90.35</v>
      </c>
      <c r="D905" s="30">
        <v>87.4</v>
      </c>
      <c r="E905" s="40"/>
      <c r="F905" s="30">
        <f t="shared" si="54"/>
        <v>15187.4</v>
      </c>
      <c r="H905" s="7">
        <v>56.15</v>
      </c>
      <c r="I905" s="7">
        <v>72.25</v>
      </c>
      <c r="J905" s="7">
        <v>42.9</v>
      </c>
      <c r="K905" s="7"/>
      <c r="L905" s="7">
        <v>48.65</v>
      </c>
      <c r="M905" s="7">
        <v>70.3</v>
      </c>
      <c r="P905" s="40"/>
      <c r="T905" s="40">
        <v>15042.5</v>
      </c>
      <c r="U905" s="40"/>
      <c r="W905" s="63">
        <v>6.1805555555555558E-2</v>
      </c>
      <c r="X905" s="30">
        <v>39.6</v>
      </c>
      <c r="Y905" s="30">
        <v>80.599999999999994</v>
      </c>
    </row>
    <row r="906" spans="2:25" x14ac:dyDescent="0.3">
      <c r="B906" s="79">
        <v>15150</v>
      </c>
      <c r="C906" s="30">
        <v>65.849999999999994</v>
      </c>
      <c r="D906" s="7">
        <v>63.65</v>
      </c>
      <c r="E906" s="40"/>
      <c r="F906" s="30">
        <f t="shared" si="54"/>
        <v>15213.65</v>
      </c>
      <c r="H906" s="7">
        <v>40.15</v>
      </c>
      <c r="I906" s="7">
        <v>51.6</v>
      </c>
      <c r="J906" s="7">
        <v>28.1</v>
      </c>
      <c r="K906" s="7"/>
      <c r="L906" s="7">
        <v>32.799999999999997</v>
      </c>
      <c r="M906" s="7">
        <v>46.25</v>
      </c>
      <c r="P906" s="40"/>
      <c r="T906" s="40">
        <v>15102.5</v>
      </c>
      <c r="U906" s="40"/>
      <c r="W906" s="63">
        <v>8.2638888888888887E-2</v>
      </c>
      <c r="X906" s="30">
        <v>32.799999999999997</v>
      </c>
      <c r="Y906" s="30">
        <v>89.75</v>
      </c>
    </row>
    <row r="907" spans="2:25" x14ac:dyDescent="0.3">
      <c r="B907" s="26">
        <f>B906+50</f>
        <v>15200</v>
      </c>
      <c r="C907" s="51">
        <v>45.1</v>
      </c>
      <c r="D907" s="23">
        <v>44.2</v>
      </c>
      <c r="E907" s="40"/>
      <c r="F907" s="50">
        <f t="shared" si="54"/>
        <v>15244.2</v>
      </c>
      <c r="H907" s="7">
        <v>27.25</v>
      </c>
      <c r="I907" s="7">
        <v>35.700000000000003</v>
      </c>
      <c r="J907" s="7">
        <v>17.850000000000001</v>
      </c>
      <c r="K907" s="7"/>
      <c r="L907" s="7">
        <v>21.25</v>
      </c>
      <c r="M907" s="7">
        <v>28.35</v>
      </c>
      <c r="T907" s="40">
        <v>15042.5</v>
      </c>
      <c r="U907" s="40"/>
    </row>
    <row r="908" spans="2:25" x14ac:dyDescent="0.3">
      <c r="B908" s="72">
        <f>B907+50</f>
        <v>15250</v>
      </c>
      <c r="C908" s="30">
        <v>29.15</v>
      </c>
      <c r="D908" s="30">
        <v>28.65</v>
      </c>
      <c r="E908" s="40"/>
      <c r="F908" s="30">
        <f t="shared" si="54"/>
        <v>15278.65</v>
      </c>
      <c r="H908" s="7">
        <v>17.7</v>
      </c>
      <c r="I908" s="7">
        <v>23.65</v>
      </c>
      <c r="J908" s="7">
        <v>10.8</v>
      </c>
      <c r="K908" s="7"/>
      <c r="L908" s="7">
        <v>13.35</v>
      </c>
      <c r="M908" s="7">
        <v>15.95</v>
      </c>
      <c r="Q908" s="133" t="s">
        <v>72</v>
      </c>
      <c r="R908" s="134"/>
      <c r="S908" s="135"/>
      <c r="T908" s="40">
        <v>15102.5</v>
      </c>
      <c r="U908" s="40"/>
      <c r="W908" s="34" t="s">
        <v>68</v>
      </c>
      <c r="X908" s="56" t="s">
        <v>69</v>
      </c>
      <c r="Y908" s="57" t="s">
        <v>70</v>
      </c>
    </row>
    <row r="909" spans="2:25" x14ac:dyDescent="0.3">
      <c r="B909" s="26">
        <f>B908+50</f>
        <v>15300</v>
      </c>
      <c r="C909" s="30">
        <v>17.899999999999999</v>
      </c>
      <c r="D909" s="30">
        <v>17.75</v>
      </c>
      <c r="E909" s="40"/>
      <c r="F909" s="30">
        <f t="shared" si="54"/>
        <v>15317.75</v>
      </c>
      <c r="H909" s="7">
        <v>11.3</v>
      </c>
      <c r="I909" s="7">
        <v>15</v>
      </c>
      <c r="J909" s="7">
        <v>6.6</v>
      </c>
      <c r="K909" s="7"/>
      <c r="L909" s="7">
        <v>8.1999999999999993</v>
      </c>
      <c r="M909" s="7">
        <v>8.6</v>
      </c>
      <c r="Q909" s="30">
        <v>70.400000000000006</v>
      </c>
      <c r="R909" s="73">
        <v>75</v>
      </c>
      <c r="S909" s="30">
        <f>R909*Q909</f>
        <v>5280</v>
      </c>
      <c r="W909" s="63">
        <v>0.41597222222222219</v>
      </c>
      <c r="X909" s="30">
        <v>45.1</v>
      </c>
      <c r="Y909" s="30">
        <v>58.65</v>
      </c>
    </row>
    <row r="910" spans="2:25" x14ac:dyDescent="0.3">
      <c r="D910" s="40"/>
      <c r="E910" s="40">
        <f>F910-(G910-F910)</f>
        <v>41.849999999999994</v>
      </c>
      <c r="F910" s="40">
        <f>AVERAGE(C906,C916)</f>
        <v>62.25</v>
      </c>
      <c r="G910" s="40">
        <f>AVERAGE(C905,C915)</f>
        <v>82.65</v>
      </c>
      <c r="H910" s="17"/>
      <c r="I910" s="17"/>
      <c r="J910" s="17"/>
      <c r="K910" s="76"/>
      <c r="L910" s="17"/>
      <c r="M910" s="17"/>
      <c r="Q910" s="30">
        <v>70.400000000000006</v>
      </c>
      <c r="R910" s="73">
        <v>75</v>
      </c>
      <c r="S910" s="30">
        <f>R910*Q910</f>
        <v>5280</v>
      </c>
      <c r="W910" s="63">
        <v>0.4368055555555555</v>
      </c>
      <c r="X910" s="30">
        <v>27.25</v>
      </c>
      <c r="Y910" s="30">
        <v>92.95</v>
      </c>
    </row>
    <row r="911" spans="2:25" x14ac:dyDescent="0.3">
      <c r="C911" s="64">
        <v>43872</v>
      </c>
      <c r="E911" s="40"/>
      <c r="F911" s="40">
        <f>AVERAGE(E912,F912)</f>
        <v>59.087500000000006</v>
      </c>
      <c r="G911" s="40"/>
      <c r="H911" s="67">
        <v>0.4368055555555555</v>
      </c>
      <c r="I911" s="66">
        <v>0.45833333333333331</v>
      </c>
      <c r="J911" s="66">
        <v>7.0833333333333331E-2</v>
      </c>
      <c r="K911" s="66"/>
      <c r="L911" s="66">
        <v>8.3333333333333329E-2</v>
      </c>
      <c r="M911" s="66">
        <v>0.13541666666666666</v>
      </c>
      <c r="Q911" s="30"/>
      <c r="R911" s="73"/>
      <c r="S911" s="30">
        <f>R911*Q911</f>
        <v>0</v>
      </c>
      <c r="W911" s="63">
        <v>0.45763888888888887</v>
      </c>
      <c r="X911" s="30">
        <v>32.950000000000003</v>
      </c>
      <c r="Y911" s="30">
        <v>69.849999999999994</v>
      </c>
    </row>
    <row r="912" spans="2:25" x14ac:dyDescent="0.3">
      <c r="B912" s="34" t="s">
        <v>68</v>
      </c>
      <c r="C912" s="63">
        <v>0.41666666666666669</v>
      </c>
      <c r="D912" s="63">
        <v>0.38750000000000001</v>
      </c>
      <c r="E912" s="40">
        <f>F912-(G912-F912)</f>
        <v>47.775000000000006</v>
      </c>
      <c r="F912" s="40">
        <f>AVERAGE(C915,C906)</f>
        <v>70.400000000000006</v>
      </c>
      <c r="G912" s="40">
        <f>AVERAGE(C914,C905)</f>
        <v>93.025000000000006</v>
      </c>
      <c r="H912" s="7">
        <v>15017.55</v>
      </c>
      <c r="I912" s="23">
        <v>59</v>
      </c>
      <c r="J912" s="7">
        <v>15014</v>
      </c>
      <c r="K912" s="7"/>
      <c r="L912" s="7">
        <v>15039.45</v>
      </c>
      <c r="M912" s="7">
        <v>15111</v>
      </c>
      <c r="Q912" s="30">
        <f>S912/R912</f>
        <v>70.400000000000006</v>
      </c>
      <c r="R912" s="73">
        <f>SUM(R909:R911)</f>
        <v>150</v>
      </c>
      <c r="S912" s="30">
        <f>SUM(S909:S911)</f>
        <v>10560</v>
      </c>
      <c r="V912" s="40"/>
      <c r="W912" s="63">
        <v>0.47847222222222219</v>
      </c>
      <c r="X912" s="30">
        <v>34.549999999999997</v>
      </c>
      <c r="Y912" s="30">
        <v>57.9</v>
      </c>
    </row>
    <row r="913" spans="2:25" x14ac:dyDescent="0.3">
      <c r="B913" s="26">
        <f>B914+50</f>
        <v>15150</v>
      </c>
      <c r="C913" s="30">
        <v>120.95</v>
      </c>
      <c r="D913" s="30">
        <v>83</v>
      </c>
      <c r="E913" s="40"/>
      <c r="F913" s="30">
        <f t="shared" ref="F913:F918" si="55">B913-D913</f>
        <v>15067</v>
      </c>
      <c r="H913" s="7">
        <v>179.95</v>
      </c>
      <c r="I913" s="7">
        <v>135.19999999999999</v>
      </c>
      <c r="J913" s="7">
        <v>170.55</v>
      </c>
      <c r="K913" s="7"/>
      <c r="L913" s="7">
        <v>151.94999999999999</v>
      </c>
      <c r="M913" s="7">
        <v>94.9</v>
      </c>
      <c r="P913" s="50">
        <f>S918</f>
        <v>1222.5</v>
      </c>
      <c r="Q913" s="57" t="s">
        <v>72</v>
      </c>
      <c r="S913" s="57" t="s">
        <v>73</v>
      </c>
      <c r="T913" s="23">
        <f>((X910+Y910)-(X918+Y918))</f>
        <v>9.5499999999999972</v>
      </c>
      <c r="U913" s="23"/>
      <c r="V913" s="50">
        <f>T913*225</f>
        <v>2148.7499999999995</v>
      </c>
      <c r="W913" s="63">
        <v>0.4993055555555555</v>
      </c>
      <c r="X913" s="30">
        <v>40.799999999999997</v>
      </c>
      <c r="Y913" s="30">
        <v>44.35</v>
      </c>
    </row>
    <row r="914" spans="2:25" x14ac:dyDescent="0.3">
      <c r="B914" s="26">
        <f>B915+50</f>
        <v>15100</v>
      </c>
      <c r="C914" s="30">
        <v>95.7</v>
      </c>
      <c r="D914" s="7">
        <v>64.3</v>
      </c>
      <c r="E914" s="40"/>
      <c r="F914" s="30">
        <f t="shared" si="55"/>
        <v>15035.7</v>
      </c>
      <c r="H914" s="7">
        <v>146.94999999999999</v>
      </c>
      <c r="I914" s="7">
        <v>106.05</v>
      </c>
      <c r="J914" s="7">
        <v>135.44999999999999</v>
      </c>
      <c r="K914" s="7"/>
      <c r="L914" s="7">
        <v>118.5</v>
      </c>
      <c r="M914" s="7">
        <v>69.400000000000006</v>
      </c>
      <c r="Q914" s="30">
        <v>93</v>
      </c>
      <c r="R914" s="73">
        <v>75</v>
      </c>
      <c r="S914" s="30">
        <f>R914*Q914</f>
        <v>6975</v>
      </c>
      <c r="W914" s="63">
        <v>0.52013888888888882</v>
      </c>
      <c r="X914" s="30">
        <v>37.049999999999997</v>
      </c>
      <c r="Y914" s="30">
        <v>48.7</v>
      </c>
    </row>
    <row r="915" spans="2:25" x14ac:dyDescent="0.3">
      <c r="B915" s="79">
        <v>15050</v>
      </c>
      <c r="C915" s="30">
        <v>74.95</v>
      </c>
      <c r="D915" s="7">
        <v>49.3</v>
      </c>
      <c r="E915" s="40"/>
      <c r="F915" s="30">
        <f t="shared" si="55"/>
        <v>15000.7</v>
      </c>
      <c r="H915" s="7">
        <v>117.7</v>
      </c>
      <c r="I915" s="7">
        <v>81.900000000000006</v>
      </c>
      <c r="J915" s="7">
        <v>105.5</v>
      </c>
      <c r="K915" s="7"/>
      <c r="L915" s="7">
        <v>89.75</v>
      </c>
      <c r="M915" s="7">
        <v>51.1</v>
      </c>
      <c r="Q915" s="30">
        <v>64.099999999999994</v>
      </c>
      <c r="R915" s="73">
        <v>75</v>
      </c>
      <c r="S915" s="30">
        <f>R915*Q915</f>
        <v>4807.5</v>
      </c>
      <c r="T915" s="40"/>
      <c r="U915" s="40"/>
      <c r="V915" s="40"/>
      <c r="W915" s="63">
        <v>0.54097222222222219</v>
      </c>
      <c r="X915" s="30">
        <v>32.049999999999997</v>
      </c>
      <c r="Y915" s="30">
        <v>54.3</v>
      </c>
    </row>
    <row r="916" spans="2:25" x14ac:dyDescent="0.3">
      <c r="B916" s="26">
        <f>B915-50</f>
        <v>15000</v>
      </c>
      <c r="C916" s="51">
        <v>58.65</v>
      </c>
      <c r="D916" s="7">
        <v>38.15</v>
      </c>
      <c r="E916" s="40"/>
      <c r="F916" s="50">
        <f t="shared" si="55"/>
        <v>14961.85</v>
      </c>
      <c r="H916" s="7">
        <v>92.95</v>
      </c>
      <c r="I916" s="7">
        <v>62.4</v>
      </c>
      <c r="J916" s="7">
        <v>80.05</v>
      </c>
      <c r="K916" s="7"/>
      <c r="L916" s="7">
        <v>66.55</v>
      </c>
      <c r="M916" s="7">
        <v>36.6</v>
      </c>
      <c r="Q916" s="30"/>
      <c r="R916" s="73"/>
      <c r="S916" s="30">
        <f>R916*Q916</f>
        <v>0</v>
      </c>
      <c r="T916" s="40"/>
      <c r="U916" s="40"/>
      <c r="V916" s="40"/>
      <c r="W916" s="63">
        <v>6.1805555555555558E-2</v>
      </c>
      <c r="X916" s="30">
        <v>24.95</v>
      </c>
      <c r="Y916" s="30">
        <v>62.55</v>
      </c>
    </row>
    <row r="917" spans="2:25" x14ac:dyDescent="0.3">
      <c r="B917" s="72">
        <f>B916-50</f>
        <v>14950</v>
      </c>
      <c r="C917" s="30">
        <v>46</v>
      </c>
      <c r="D917" s="30">
        <v>29.85</v>
      </c>
      <c r="E917" s="40"/>
      <c r="F917" s="30">
        <f t="shared" si="55"/>
        <v>14920.15</v>
      </c>
      <c r="H917" s="7">
        <v>72.650000000000006</v>
      </c>
      <c r="I917" s="7">
        <v>46.7</v>
      </c>
      <c r="J917" s="7">
        <v>60.2</v>
      </c>
      <c r="K917" s="7"/>
      <c r="L917" s="7">
        <v>47.75</v>
      </c>
      <c r="M917" s="7">
        <v>26.05</v>
      </c>
      <c r="Q917" s="30">
        <f>S917/R917</f>
        <v>78.55</v>
      </c>
      <c r="R917" s="73">
        <f>SUM(R914:R916)</f>
        <v>150</v>
      </c>
      <c r="S917" s="30">
        <f>SUM(S914:S916)</f>
        <v>11782.5</v>
      </c>
      <c r="W917" s="63">
        <v>8.2638888888888887E-2</v>
      </c>
      <c r="X917" s="30">
        <v>21.25</v>
      </c>
      <c r="Y917" s="30">
        <v>66.55</v>
      </c>
    </row>
    <row r="918" spans="2:25" x14ac:dyDescent="0.3">
      <c r="B918" s="26">
        <f>B917-50</f>
        <v>14900</v>
      </c>
      <c r="C918" s="30">
        <v>35.549999999999997</v>
      </c>
      <c r="D918" s="30">
        <v>23.4</v>
      </c>
      <c r="E918" s="40"/>
      <c r="F918" s="30">
        <f t="shared" si="55"/>
        <v>14876.6</v>
      </c>
      <c r="H918" s="7">
        <v>55.7</v>
      </c>
      <c r="I918" s="7">
        <v>34.549999999999997</v>
      </c>
      <c r="J918" s="7">
        <v>44.45</v>
      </c>
      <c r="K918" s="7"/>
      <c r="L918" s="7">
        <v>34.25</v>
      </c>
      <c r="M918" s="7">
        <v>18.2</v>
      </c>
      <c r="Q918" s="136" t="e">
        <f>S918/(R912-R917)</f>
        <v>#DIV/0!</v>
      </c>
      <c r="R918" s="137"/>
      <c r="S918" s="30">
        <f>S917-S912</f>
        <v>1222.5</v>
      </c>
      <c r="W918" s="63">
        <v>7.0833333333333331E-2</v>
      </c>
      <c r="X918" s="30">
        <v>17.7</v>
      </c>
      <c r="Y918" s="23">
        <v>92.95</v>
      </c>
    </row>
    <row r="920" spans="2:25" x14ac:dyDescent="0.3">
      <c r="I920" s="40">
        <f>I916-(C907-I907)</f>
        <v>53</v>
      </c>
    </row>
    <row r="930" spans="2:25" x14ac:dyDescent="0.3">
      <c r="B930" s="40"/>
      <c r="C930" s="50">
        <f>B931+E931</f>
        <v>15214.2</v>
      </c>
      <c r="D930" s="51">
        <f>C930+E931</f>
        <v>15274.2</v>
      </c>
      <c r="E930" s="21"/>
      <c r="F930" s="21"/>
      <c r="H930" s="52" t="str">
        <f>IF((C939-D939)&gt;(C948-D948),"LONG",IF(C948&gt;D946,"LONG","SHORT"))</f>
        <v>LONG</v>
      </c>
      <c r="I930" s="138" t="s">
        <v>100</v>
      </c>
      <c r="J930" s="139"/>
      <c r="K930" s="140"/>
      <c r="L930" s="53">
        <f>AVERAGE(L931:L932)</f>
        <v>180.77499999999998</v>
      </c>
      <c r="Q930" s="54">
        <v>0.39166666666666666</v>
      </c>
      <c r="R930" s="54">
        <v>0.39861111111111108</v>
      </c>
      <c r="S930" s="54">
        <v>0.4055555555555555</v>
      </c>
      <c r="T930" s="54">
        <v>0.41250000000000003</v>
      </c>
      <c r="U930" s="55"/>
      <c r="W930" s="34" t="s">
        <v>68</v>
      </c>
      <c r="X930" s="56" t="s">
        <v>69</v>
      </c>
      <c r="Y930" s="57" t="s">
        <v>70</v>
      </c>
    </row>
    <row r="931" spans="2:25" x14ac:dyDescent="0.3">
      <c r="B931" s="50">
        <v>15154.2</v>
      </c>
      <c r="C931" s="40"/>
      <c r="D931" s="58"/>
      <c r="E931" s="59">
        <f>ROUND((((B931*F931%)/4)/10),0)*10</f>
        <v>60</v>
      </c>
      <c r="F931" s="51">
        <v>1.5</v>
      </c>
      <c r="H931" s="60" t="s">
        <v>69</v>
      </c>
      <c r="I931" s="61">
        <f>AVERAGE(C948,C937)</f>
        <v>158.55000000000001</v>
      </c>
      <c r="J931" s="61">
        <f>AVERAGE(C948,C938)</f>
        <v>144.52500000000001</v>
      </c>
      <c r="K931" s="61">
        <f>AVERAGE(C948,C939)</f>
        <v>131.17500000000001</v>
      </c>
      <c r="L931" s="61">
        <f>C937</f>
        <v>185.95</v>
      </c>
      <c r="Q931" s="51">
        <v>15099.2</v>
      </c>
      <c r="R931" s="51">
        <v>15106.2</v>
      </c>
      <c r="S931" s="51">
        <v>15138</v>
      </c>
      <c r="T931" s="51">
        <v>15151</v>
      </c>
      <c r="U931" s="62"/>
      <c r="W931" s="63">
        <v>0.41597222222222219</v>
      </c>
      <c r="X931" s="30">
        <v>131.19999999999999</v>
      </c>
      <c r="Y931" s="30">
        <v>131.15</v>
      </c>
    </row>
    <row r="932" spans="2:25" x14ac:dyDescent="0.3">
      <c r="B932" s="40"/>
      <c r="C932" s="50">
        <f>B931-E931</f>
        <v>15094.2</v>
      </c>
      <c r="D932" s="51">
        <f>C932-E931</f>
        <v>15034.2</v>
      </c>
      <c r="E932" s="21"/>
      <c r="F932" s="21"/>
      <c r="H932" s="60" t="s">
        <v>70</v>
      </c>
      <c r="I932" s="61">
        <f>AVERAGE(C939,C946)</f>
        <v>153.39999999999998</v>
      </c>
      <c r="J932" s="61">
        <f>AVERAGE(C939,C947)</f>
        <v>141.57499999999999</v>
      </c>
      <c r="K932" s="61">
        <f>AVERAGE(C939,C948)</f>
        <v>131.17500000000001</v>
      </c>
      <c r="L932" s="61">
        <f>C946</f>
        <v>175.6</v>
      </c>
      <c r="W932" s="63">
        <v>0.4368055555555555</v>
      </c>
      <c r="X932" s="30">
        <v>128.94999999999999</v>
      </c>
      <c r="Y932" s="30">
        <v>135.5</v>
      </c>
    </row>
    <row r="933" spans="2:25" x14ac:dyDescent="0.3">
      <c r="F933" s="40"/>
      <c r="G933" s="40"/>
      <c r="K933" s="40"/>
      <c r="R933">
        <f>ROUND((38000/77)/75,0)*75</f>
        <v>525</v>
      </c>
      <c r="W933" s="63">
        <v>0.45763888888888887</v>
      </c>
      <c r="X933" s="30"/>
      <c r="Y933" s="30"/>
    </row>
    <row r="934" spans="2:25" x14ac:dyDescent="0.3">
      <c r="B934" s="40"/>
      <c r="P934" s="40"/>
      <c r="W934" s="63">
        <v>0.47847222222222219</v>
      </c>
      <c r="X934" s="30"/>
      <c r="Y934" s="30"/>
    </row>
    <row r="935" spans="2:25" x14ac:dyDescent="0.3">
      <c r="C935" s="64">
        <v>44238</v>
      </c>
      <c r="F935" s="30">
        <f>AVERAGE(F937,F946)</f>
        <v>15136.15</v>
      </c>
      <c r="G935" s="65"/>
      <c r="H935" s="66">
        <v>0.46875</v>
      </c>
      <c r="I935" s="66">
        <v>0.51944444444444449</v>
      </c>
      <c r="J935" s="66"/>
      <c r="K935" s="66"/>
      <c r="L935" s="66">
        <v>8.3333333333333329E-2</v>
      </c>
      <c r="M935" s="66">
        <v>0.13541666666666666</v>
      </c>
      <c r="P935" s="40"/>
      <c r="Q935" s="132" t="s">
        <v>71</v>
      </c>
      <c r="R935" s="132"/>
      <c r="S935" s="132" t="s">
        <v>37</v>
      </c>
      <c r="T935" s="132"/>
      <c r="U935" s="69"/>
      <c r="W935" s="63">
        <v>0.4993055555555555</v>
      </c>
      <c r="X935" s="30"/>
      <c r="Y935" s="30"/>
    </row>
    <row r="936" spans="2:25" x14ac:dyDescent="0.3">
      <c r="B936" s="34" t="s">
        <v>68</v>
      </c>
      <c r="C936" s="63">
        <v>0.41666666666666669</v>
      </c>
      <c r="D936" s="63">
        <v>0.38680555555555557</v>
      </c>
      <c r="H936" s="7">
        <v>15131</v>
      </c>
      <c r="I936" s="7">
        <v>15144.5</v>
      </c>
      <c r="J936" s="7"/>
      <c r="K936" s="7"/>
      <c r="L936" s="7"/>
      <c r="M936" s="7"/>
      <c r="Q936" s="61">
        <f>R936-(S936-R936)</f>
        <v>0</v>
      </c>
      <c r="R936" s="61"/>
      <c r="S936" s="61"/>
      <c r="T936" s="61">
        <f>S936+(S936-R936)</f>
        <v>0</v>
      </c>
      <c r="U936" s="71"/>
      <c r="W936" s="63">
        <v>0.52013888888888882</v>
      </c>
      <c r="X936" s="30"/>
      <c r="Y936" s="30"/>
    </row>
    <row r="937" spans="2:25" x14ac:dyDescent="0.3">
      <c r="B937" s="26">
        <f>B938-50</f>
        <v>15100</v>
      </c>
      <c r="C937" s="30">
        <v>185.95</v>
      </c>
      <c r="D937" s="30">
        <v>147.9</v>
      </c>
      <c r="E937" s="40"/>
      <c r="F937" s="30">
        <f t="shared" ref="F937:F942" si="56">B937+D937</f>
        <v>15247.9</v>
      </c>
      <c r="H937" s="7">
        <v>169.4</v>
      </c>
      <c r="I937" s="7">
        <v>174.3</v>
      </c>
      <c r="J937" s="7"/>
      <c r="K937" s="7"/>
      <c r="L937" s="7"/>
      <c r="M937" s="7"/>
      <c r="R937" s="40"/>
      <c r="S937" s="40"/>
      <c r="T937" s="40">
        <v>15154.2</v>
      </c>
      <c r="U937" s="40"/>
      <c r="W937" s="63">
        <v>0.54097222222222219</v>
      </c>
      <c r="X937" s="30"/>
      <c r="Y937" s="30"/>
    </row>
    <row r="938" spans="2:25" x14ac:dyDescent="0.3">
      <c r="B938" s="26">
        <f>B939-50</f>
        <v>15150</v>
      </c>
      <c r="C938" s="30">
        <v>157.9</v>
      </c>
      <c r="D938" s="7">
        <v>123.8</v>
      </c>
      <c r="E938" s="40"/>
      <c r="F938" s="30">
        <f t="shared" si="56"/>
        <v>15273.8</v>
      </c>
      <c r="H938" s="7">
        <v>142.5</v>
      </c>
      <c r="I938" s="7">
        <v>146.94999999999999</v>
      </c>
      <c r="J938" s="7"/>
      <c r="K938" s="7"/>
      <c r="L938" s="7"/>
      <c r="M938" s="7"/>
      <c r="T938" s="40">
        <v>15214.2</v>
      </c>
      <c r="U938" s="40"/>
      <c r="W938" s="63">
        <v>6.1805555555555558E-2</v>
      </c>
      <c r="X938" s="30"/>
      <c r="Y938" s="30"/>
    </row>
    <row r="939" spans="2:25" x14ac:dyDescent="0.3">
      <c r="B939" s="79">
        <v>15200</v>
      </c>
      <c r="C939" s="30">
        <v>131.19999999999999</v>
      </c>
      <c r="D939" s="7">
        <v>102.1</v>
      </c>
      <c r="E939" s="40"/>
      <c r="F939" s="30">
        <f t="shared" si="56"/>
        <v>15302.1</v>
      </c>
      <c r="H939" s="7">
        <v>117.65</v>
      </c>
      <c r="I939" s="7">
        <v>121.1</v>
      </c>
      <c r="J939" s="7"/>
      <c r="K939" s="7"/>
      <c r="L939" s="7"/>
      <c r="M939" s="7"/>
      <c r="W939" s="63">
        <v>8.2638888888888887E-2</v>
      </c>
      <c r="X939" s="30"/>
      <c r="Y939" s="30"/>
    </row>
    <row r="940" spans="2:25" x14ac:dyDescent="0.3">
      <c r="B940" s="26">
        <f>B939+50</f>
        <v>15250</v>
      </c>
      <c r="C940" s="30">
        <v>108.25</v>
      </c>
      <c r="D940" s="30">
        <v>82.7</v>
      </c>
      <c r="E940" s="40"/>
      <c r="F940" s="50">
        <f t="shared" si="56"/>
        <v>15332.7</v>
      </c>
      <c r="H940" s="7">
        <v>95.15</v>
      </c>
      <c r="I940" s="7">
        <v>98.65</v>
      </c>
      <c r="J940" s="7"/>
      <c r="K940" s="7"/>
      <c r="L940" s="7"/>
      <c r="M940" s="7"/>
    </row>
    <row r="941" spans="2:25" x14ac:dyDescent="0.3">
      <c r="B941" s="72">
        <f>B940+50</f>
        <v>15300</v>
      </c>
      <c r="C941" s="51">
        <v>87.65</v>
      </c>
      <c r="D941" s="30">
        <v>66.400000000000006</v>
      </c>
      <c r="E941" s="40"/>
      <c r="F941" s="30">
        <f t="shared" si="56"/>
        <v>15366.4</v>
      </c>
      <c r="H941" s="7">
        <v>76.5</v>
      </c>
      <c r="I941" s="7">
        <v>78.400000000000006</v>
      </c>
      <c r="J941" s="7"/>
      <c r="K941" s="7"/>
      <c r="L941" s="7"/>
      <c r="M941" s="7"/>
      <c r="P941" s="40"/>
      <c r="Q941" s="133" t="s">
        <v>72</v>
      </c>
      <c r="R941" s="134"/>
      <c r="S941" s="135"/>
      <c r="W941" s="34" t="s">
        <v>68</v>
      </c>
      <c r="X941" s="56" t="s">
        <v>69</v>
      </c>
      <c r="Y941" s="57" t="s">
        <v>70</v>
      </c>
    </row>
    <row r="942" spans="2:25" x14ac:dyDescent="0.3">
      <c r="B942" s="26">
        <f>B941+50</f>
        <v>15350</v>
      </c>
      <c r="C942" s="30">
        <v>69</v>
      </c>
      <c r="D942" s="30">
        <v>52.7</v>
      </c>
      <c r="E942" s="40"/>
      <c r="F942" s="30">
        <f t="shared" si="56"/>
        <v>15402.7</v>
      </c>
      <c r="H942" s="7">
        <v>60.45</v>
      </c>
      <c r="I942" s="7">
        <v>62</v>
      </c>
      <c r="J942" s="7"/>
      <c r="K942" s="7"/>
      <c r="L942" s="7"/>
      <c r="M942" s="7"/>
      <c r="P942" s="40"/>
      <c r="Q942" s="30">
        <v>92.8</v>
      </c>
      <c r="R942" s="73">
        <v>75</v>
      </c>
      <c r="S942" s="30">
        <f>R942*Q942</f>
        <v>6960</v>
      </c>
      <c r="W942" s="63">
        <v>0.41597222222222219</v>
      </c>
      <c r="X942" s="30">
        <v>87.65</v>
      </c>
      <c r="Y942" s="30">
        <v>85.4</v>
      </c>
    </row>
    <row r="943" spans="2:25" x14ac:dyDescent="0.3">
      <c r="D943" s="40"/>
      <c r="E943" s="40">
        <f>F943-(G943-F943)</f>
        <v>84.050000000000011</v>
      </c>
      <c r="F943" s="40">
        <f>AVERAGE(C940,C950)</f>
        <v>103.375</v>
      </c>
      <c r="G943" s="40">
        <f>AVERAGE(C939,C949)</f>
        <v>122.69999999999999</v>
      </c>
      <c r="H943" s="17"/>
      <c r="I943" s="17"/>
      <c r="J943" s="17"/>
      <c r="K943" s="76"/>
      <c r="L943" s="17"/>
      <c r="M943" s="17"/>
      <c r="Q943" s="30">
        <v>92.8</v>
      </c>
      <c r="R943" s="73">
        <v>75</v>
      </c>
      <c r="S943" s="30">
        <f>R943*Q943</f>
        <v>6960</v>
      </c>
      <c r="W943" s="63">
        <v>0.4368055555555555</v>
      </c>
      <c r="X943" s="30">
        <v>85.15</v>
      </c>
      <c r="Y943" s="30">
        <v>88.3</v>
      </c>
    </row>
    <row r="944" spans="2:25" x14ac:dyDescent="0.3">
      <c r="C944" s="64">
        <v>44245</v>
      </c>
      <c r="E944" s="40"/>
      <c r="F944" s="40">
        <f>AVERAGE(E945,F945)</f>
        <v>84</v>
      </c>
      <c r="G944" s="40"/>
      <c r="H944" s="66">
        <v>0.46875</v>
      </c>
      <c r="I944" s="66">
        <v>0.51944444444444449</v>
      </c>
      <c r="J944" s="66"/>
      <c r="K944" s="66"/>
      <c r="L944" s="66"/>
      <c r="M944" s="66"/>
      <c r="Q944" s="30"/>
      <c r="R944" s="73"/>
      <c r="S944" s="30">
        <f>R944*Q944</f>
        <v>0</v>
      </c>
      <c r="W944" s="63">
        <v>0.45763888888888887</v>
      </c>
      <c r="X944" s="30"/>
      <c r="Y944" s="30"/>
    </row>
    <row r="945" spans="2:25" x14ac:dyDescent="0.3">
      <c r="B945" s="34" t="s">
        <v>68</v>
      </c>
      <c r="C945" s="63">
        <v>0.41666666666666669</v>
      </c>
      <c r="D945" s="63">
        <v>0.40902777777777777</v>
      </c>
      <c r="E945" s="40">
        <f>F945-(G945-F945)</f>
        <v>74.925000000000011</v>
      </c>
      <c r="F945" s="40">
        <f>AVERAGE(C950,C941)</f>
        <v>93.075000000000003</v>
      </c>
      <c r="G945" s="40">
        <f>AVERAGE(C949,C940)</f>
        <v>111.22499999999999</v>
      </c>
      <c r="H945" s="23">
        <v>93</v>
      </c>
      <c r="I945" s="7">
        <v>84</v>
      </c>
      <c r="J945" s="7"/>
      <c r="K945" s="7"/>
      <c r="L945" s="7"/>
      <c r="M945" s="7"/>
      <c r="Q945" s="30">
        <f>S945/R945</f>
        <v>92.8</v>
      </c>
      <c r="R945" s="73">
        <f>SUM(R942:R944)</f>
        <v>150</v>
      </c>
      <c r="S945" s="30">
        <f>SUM(S942:S944)</f>
        <v>13920</v>
      </c>
      <c r="V945" s="40"/>
      <c r="W945" s="63">
        <v>0.47847222222222219</v>
      </c>
      <c r="X945" s="30"/>
      <c r="Y945" s="30"/>
    </row>
    <row r="946" spans="2:25" x14ac:dyDescent="0.3">
      <c r="B946" s="26">
        <f>B947+50</f>
        <v>15200</v>
      </c>
      <c r="C946" s="30">
        <v>175.6</v>
      </c>
      <c r="D946" s="30">
        <v>175.6</v>
      </c>
      <c r="E946" s="40"/>
      <c r="F946" s="30">
        <f t="shared" ref="F946:F951" si="57">B946-D946</f>
        <v>15024.4</v>
      </c>
      <c r="H946" s="7">
        <v>189.9</v>
      </c>
      <c r="I946" s="7">
        <v>180.6</v>
      </c>
      <c r="J946" s="7"/>
      <c r="K946" s="7"/>
      <c r="L946" s="7"/>
      <c r="M946" s="7"/>
      <c r="P946" s="50">
        <f>S951</f>
        <v>-2430</v>
      </c>
      <c r="Q946" s="57" t="s">
        <v>72</v>
      </c>
      <c r="S946" s="57" t="s">
        <v>73</v>
      </c>
      <c r="T946" s="23">
        <f>((X943+Y943)-(X951+Y951))</f>
        <v>-7.2000000000000171</v>
      </c>
      <c r="U946" s="23"/>
      <c r="V946" s="50">
        <f>T946*225</f>
        <v>-1620.0000000000039</v>
      </c>
      <c r="W946" s="63">
        <v>0.4993055555555555</v>
      </c>
      <c r="X946" s="30"/>
      <c r="Y946" s="30"/>
    </row>
    <row r="947" spans="2:25" x14ac:dyDescent="0.3">
      <c r="B947" s="26">
        <f>B948+50</f>
        <v>15150</v>
      </c>
      <c r="C947" s="30">
        <v>151.94999999999999</v>
      </c>
      <c r="D947" s="30">
        <v>152.25</v>
      </c>
      <c r="E947" s="40"/>
      <c r="F947" s="30">
        <f t="shared" si="57"/>
        <v>14997.75</v>
      </c>
      <c r="H947" s="7">
        <v>166</v>
      </c>
      <c r="I947" s="7">
        <v>156.35</v>
      </c>
      <c r="J947" s="7"/>
      <c r="K947" s="7"/>
      <c r="L947" s="7"/>
      <c r="M947" s="7"/>
      <c r="Q947" s="30">
        <v>76.599999999999994</v>
      </c>
      <c r="R947" s="73">
        <v>75</v>
      </c>
      <c r="S947" s="30">
        <f>R947*Q947</f>
        <v>5745</v>
      </c>
      <c r="W947" s="63">
        <v>0.52013888888888882</v>
      </c>
      <c r="X947" s="30"/>
      <c r="Y947" s="30"/>
    </row>
    <row r="948" spans="2:25" x14ac:dyDescent="0.3">
      <c r="B948" s="79">
        <v>15100</v>
      </c>
      <c r="C948" s="30">
        <v>131.15</v>
      </c>
      <c r="D948" s="7">
        <v>130.69999999999999</v>
      </c>
      <c r="E948" s="40"/>
      <c r="F948" s="30">
        <f t="shared" si="57"/>
        <v>14969.3</v>
      </c>
      <c r="H948" s="7">
        <v>142.9</v>
      </c>
      <c r="I948" s="7">
        <v>133.75</v>
      </c>
      <c r="J948" s="7"/>
      <c r="K948" s="7"/>
      <c r="L948" s="7"/>
      <c r="M948" s="7"/>
      <c r="Q948" s="30">
        <v>76.599999999999994</v>
      </c>
      <c r="R948" s="73">
        <v>75</v>
      </c>
      <c r="S948" s="30">
        <f>R948*Q948</f>
        <v>5745</v>
      </c>
      <c r="T948" s="40"/>
      <c r="U948" s="40"/>
      <c r="V948" s="40"/>
      <c r="W948" s="63">
        <v>0.54097222222222219</v>
      </c>
      <c r="X948" s="30"/>
      <c r="Y948" s="30"/>
    </row>
    <row r="949" spans="2:25" x14ac:dyDescent="0.3">
      <c r="B949" s="73">
        <f>B948-50</f>
        <v>15050</v>
      </c>
      <c r="C949" s="30">
        <v>114.2</v>
      </c>
      <c r="D949" s="23">
        <v>114.2</v>
      </c>
      <c r="E949" s="40"/>
      <c r="F949" s="50">
        <f t="shared" si="57"/>
        <v>14935.8</v>
      </c>
      <c r="H949" s="7">
        <v>124.75</v>
      </c>
      <c r="I949" s="7">
        <v>116.2</v>
      </c>
      <c r="J949" s="7"/>
      <c r="K949" s="7"/>
      <c r="L949" s="7"/>
      <c r="M949" s="7"/>
      <c r="Q949" s="30"/>
      <c r="R949" s="73"/>
      <c r="S949" s="30">
        <f>R949*Q949</f>
        <v>0</v>
      </c>
      <c r="T949" s="40"/>
      <c r="U949" s="40"/>
      <c r="V949" s="40"/>
      <c r="W949" s="63">
        <v>6.1805555555555558E-2</v>
      </c>
      <c r="X949" s="30"/>
      <c r="Y949" s="30"/>
    </row>
    <row r="950" spans="2:25" x14ac:dyDescent="0.3">
      <c r="B950" s="72">
        <f>B949-50</f>
        <v>15000</v>
      </c>
      <c r="C950" s="30">
        <v>98.5</v>
      </c>
      <c r="D950" s="7">
        <v>98.6</v>
      </c>
      <c r="E950" s="40"/>
      <c r="F950" s="30">
        <f t="shared" si="57"/>
        <v>14901.4</v>
      </c>
      <c r="H950" s="7">
        <v>107</v>
      </c>
      <c r="I950" s="7">
        <v>99.6</v>
      </c>
      <c r="J950" s="7"/>
      <c r="K950" s="7"/>
      <c r="L950" s="7"/>
      <c r="M950" s="7"/>
      <c r="Q950" s="30">
        <f>S950/R950</f>
        <v>76.599999999999994</v>
      </c>
      <c r="R950" s="73">
        <f>SUM(R947:R949)</f>
        <v>150</v>
      </c>
      <c r="S950" s="30">
        <f>SUM(S947:S949)</f>
        <v>11490</v>
      </c>
      <c r="W950" s="63">
        <v>8.2638888888888887E-2</v>
      </c>
      <c r="X950" s="30"/>
      <c r="Y950" s="30"/>
    </row>
    <row r="951" spans="2:25" x14ac:dyDescent="0.3">
      <c r="B951" s="26">
        <f>B950-50</f>
        <v>14950</v>
      </c>
      <c r="C951" s="51">
        <v>85.4</v>
      </c>
      <c r="D951" s="30">
        <v>85.1</v>
      </c>
      <c r="E951" s="40"/>
      <c r="F951" s="30">
        <f t="shared" si="57"/>
        <v>14864.9</v>
      </c>
      <c r="H951" s="7">
        <v>92.8</v>
      </c>
      <c r="I951" s="7">
        <v>85.8</v>
      </c>
      <c r="J951" s="7"/>
      <c r="K951" s="7"/>
      <c r="L951" s="7"/>
      <c r="M951" s="7"/>
      <c r="Q951" s="136" t="e">
        <f>S951/(R945-R950)</f>
        <v>#DIV/0!</v>
      </c>
      <c r="R951" s="137"/>
      <c r="S951" s="30">
        <f>S950-S945</f>
        <v>-2430</v>
      </c>
      <c r="W951" s="63">
        <v>0.46875</v>
      </c>
      <c r="X951" s="30">
        <v>87.65</v>
      </c>
      <c r="Y951" s="23">
        <v>93</v>
      </c>
    </row>
    <row r="963" spans="2:25" x14ac:dyDescent="0.3">
      <c r="B963" s="40"/>
      <c r="C963" s="50">
        <f>B964+E964</f>
        <v>15338.05</v>
      </c>
      <c r="D963" s="51">
        <f>C963+E964</f>
        <v>15398.05</v>
      </c>
      <c r="E963" s="21"/>
      <c r="F963" s="21"/>
      <c r="H963" s="52" t="str">
        <f>IF((C972-D972)&gt;(C981-D981),"LONG",IF(C981&gt;D979,"LONG","SHORT"))</f>
        <v>SHORT</v>
      </c>
      <c r="I963" s="138" t="s">
        <v>100</v>
      </c>
      <c r="J963" s="139"/>
      <c r="K963" s="140"/>
      <c r="L963" s="53">
        <f>AVERAGE(L964:L965)</f>
        <v>143</v>
      </c>
      <c r="Q963" s="54">
        <v>0.39166666666666666</v>
      </c>
      <c r="R963" s="54">
        <v>0.39861111111111108</v>
      </c>
      <c r="S963" s="54">
        <v>0.4055555555555555</v>
      </c>
      <c r="T963" s="54">
        <v>0.41250000000000003</v>
      </c>
      <c r="U963" s="55"/>
      <c r="W963" s="34" t="s">
        <v>68</v>
      </c>
      <c r="X963" s="56" t="s">
        <v>69</v>
      </c>
      <c r="Y963" s="57" t="s">
        <v>70</v>
      </c>
    </row>
    <row r="964" spans="2:25" x14ac:dyDescent="0.3">
      <c r="B964" s="50">
        <v>15278.05</v>
      </c>
      <c r="C964" s="40"/>
      <c r="D964" s="58"/>
      <c r="E964" s="59">
        <f>ROUND((((B964*F964%)/4)/10),0)*10</f>
        <v>60</v>
      </c>
      <c r="F964" s="51">
        <v>1.5</v>
      </c>
      <c r="H964" s="60" t="s">
        <v>69</v>
      </c>
      <c r="I964" s="61">
        <f>AVERAGE(C981,C970)</f>
        <v>118.5</v>
      </c>
      <c r="J964" s="61">
        <f>AVERAGE(C981,C971)</f>
        <v>102.7</v>
      </c>
      <c r="K964" s="61">
        <f>AVERAGE(C981,C972)</f>
        <v>88.674999999999997</v>
      </c>
      <c r="L964" s="61">
        <f>C970</f>
        <v>148</v>
      </c>
      <c r="Q964" s="51">
        <v>15280.1</v>
      </c>
      <c r="R964" s="51">
        <v>15288</v>
      </c>
      <c r="S964" s="51">
        <v>15280.9</v>
      </c>
      <c r="T964" s="51">
        <v>15279.15</v>
      </c>
      <c r="U964" s="62"/>
      <c r="W964" s="63">
        <v>0.41597222222222219</v>
      </c>
      <c r="X964" s="30">
        <v>88.35</v>
      </c>
      <c r="Y964" s="30">
        <v>89</v>
      </c>
    </row>
    <row r="965" spans="2:25" x14ac:dyDescent="0.3">
      <c r="B965" s="40"/>
      <c r="C965" s="50">
        <f>B964-E964</f>
        <v>15218.05</v>
      </c>
      <c r="D965" s="51">
        <f>C965-E964</f>
        <v>15158.05</v>
      </c>
      <c r="E965" s="21"/>
      <c r="F965" s="21"/>
      <c r="H965" s="60" t="s">
        <v>70</v>
      </c>
      <c r="I965" s="61">
        <f>AVERAGE(C972,C979)</f>
        <v>113.175</v>
      </c>
      <c r="J965" s="61">
        <f>AVERAGE(C972,C980)</f>
        <v>100.125</v>
      </c>
      <c r="K965" s="61">
        <f>AVERAGE(C972,C981)</f>
        <v>88.674999999999997</v>
      </c>
      <c r="L965" s="61">
        <f>C979</f>
        <v>138</v>
      </c>
      <c r="W965" s="63">
        <v>0.4368055555555555</v>
      </c>
      <c r="X965" s="30">
        <v>91.3</v>
      </c>
      <c r="Y965" s="30">
        <v>84.45</v>
      </c>
    </row>
    <row r="966" spans="2:25" x14ac:dyDescent="0.3">
      <c r="F966" s="40"/>
      <c r="G966" s="40"/>
      <c r="K966" s="40"/>
      <c r="R966">
        <f>ROUND((28000/58)/75,0)*75</f>
        <v>450</v>
      </c>
      <c r="W966" s="63">
        <v>0.45763888888888887</v>
      </c>
      <c r="X966" s="30">
        <v>101.6</v>
      </c>
      <c r="Y966" s="30">
        <v>75.7</v>
      </c>
    </row>
    <row r="967" spans="2:25" x14ac:dyDescent="0.3">
      <c r="B967" s="40"/>
      <c r="P967" s="40"/>
      <c r="W967" s="63">
        <v>0.47847222222222219</v>
      </c>
      <c r="X967" s="30">
        <v>100.8</v>
      </c>
      <c r="Y967" s="30">
        <v>75.75</v>
      </c>
    </row>
    <row r="968" spans="2:25" x14ac:dyDescent="0.3">
      <c r="C968" s="64">
        <v>44242</v>
      </c>
      <c r="F968" s="30">
        <f>AVERAGE(F970,F979)</f>
        <v>15281.025</v>
      </c>
      <c r="G968" s="65"/>
      <c r="H968" s="66">
        <v>0.13541666666666666</v>
      </c>
      <c r="I968" s="66"/>
      <c r="J968" s="66"/>
      <c r="K968" s="66"/>
      <c r="L968" s="67">
        <v>8.3333333333333329E-2</v>
      </c>
      <c r="M968" s="67">
        <v>0.13541666666666666</v>
      </c>
      <c r="P968" s="40"/>
      <c r="Q968" s="132" t="s">
        <v>71</v>
      </c>
      <c r="R968" s="132"/>
      <c r="S968" s="132" t="s">
        <v>37</v>
      </c>
      <c r="T968" s="132"/>
      <c r="U968" s="69"/>
      <c r="W968" s="63">
        <v>0.4993055555555555</v>
      </c>
      <c r="X968" s="30">
        <v>102.3</v>
      </c>
      <c r="Y968" s="30">
        <v>75.55</v>
      </c>
    </row>
    <row r="969" spans="2:25" x14ac:dyDescent="0.3">
      <c r="B969" s="34" t="s">
        <v>68</v>
      </c>
      <c r="C969" s="63">
        <v>0.41666666666666669</v>
      </c>
      <c r="D969" s="63">
        <v>0.38680555555555557</v>
      </c>
      <c r="H969" s="23">
        <v>60.65</v>
      </c>
      <c r="I969" s="7"/>
      <c r="J969" s="7"/>
      <c r="K969" s="7"/>
      <c r="L969" s="7">
        <v>15313</v>
      </c>
      <c r="M969" s="7">
        <v>15332.4</v>
      </c>
      <c r="Q969" s="61">
        <f>R969-(S969-R969)</f>
        <v>0</v>
      </c>
      <c r="R969" s="61"/>
      <c r="S969" s="61"/>
      <c r="T969" s="61">
        <f>S969+(S969-R969)</f>
        <v>0</v>
      </c>
      <c r="U969" s="71"/>
      <c r="W969" s="63">
        <v>0.52013888888888882</v>
      </c>
      <c r="X969" s="30">
        <v>99.95</v>
      </c>
      <c r="Y969" s="30">
        <v>76.55</v>
      </c>
    </row>
    <row r="970" spans="2:25" x14ac:dyDescent="0.3">
      <c r="B970" s="26">
        <f>B971-50</f>
        <v>15200</v>
      </c>
      <c r="C970" s="30">
        <v>148</v>
      </c>
      <c r="D970" s="30">
        <v>139.4</v>
      </c>
      <c r="E970" s="40"/>
      <c r="F970" s="30">
        <f t="shared" ref="F970:F975" si="58">B970+D970</f>
        <v>15339.4</v>
      </c>
      <c r="H970" s="7">
        <v>182</v>
      </c>
      <c r="I970" s="7"/>
      <c r="J970" s="7"/>
      <c r="K970" s="7"/>
      <c r="L970" s="7">
        <v>168.25</v>
      </c>
      <c r="M970" s="7">
        <v>182</v>
      </c>
      <c r="R970" s="40"/>
      <c r="S970" s="40"/>
      <c r="T970" s="40">
        <v>15278.05</v>
      </c>
      <c r="U970" s="40"/>
      <c r="W970" s="63">
        <v>0.54097222222222219</v>
      </c>
      <c r="X970" s="30">
        <v>101.6</v>
      </c>
      <c r="Y970" s="30">
        <v>77.5</v>
      </c>
    </row>
    <row r="971" spans="2:25" x14ac:dyDescent="0.3">
      <c r="B971" s="26">
        <f>B972-50</f>
        <v>15250</v>
      </c>
      <c r="C971" s="30">
        <v>116.4</v>
      </c>
      <c r="D971" s="30">
        <v>108.65</v>
      </c>
      <c r="E971" s="40"/>
      <c r="F971" s="30">
        <f t="shared" si="58"/>
        <v>15358.65</v>
      </c>
      <c r="H971" s="7">
        <v>145.25</v>
      </c>
      <c r="I971" s="7"/>
      <c r="J971" s="7"/>
      <c r="K971" s="7"/>
      <c r="L971" s="7">
        <v>133.65</v>
      </c>
      <c r="M971" s="7">
        <v>145.25</v>
      </c>
      <c r="T971" s="40">
        <v>15338.05</v>
      </c>
      <c r="U971" s="40"/>
      <c r="W971" s="63">
        <v>6.1805555555555558E-2</v>
      </c>
      <c r="X971" s="30">
        <v>102</v>
      </c>
      <c r="Y971" s="30">
        <v>78.55</v>
      </c>
    </row>
    <row r="972" spans="2:25" x14ac:dyDescent="0.3">
      <c r="B972" s="79">
        <v>15300</v>
      </c>
      <c r="C972" s="30">
        <v>88.35</v>
      </c>
      <c r="D972" s="7">
        <v>82.9</v>
      </c>
      <c r="E972" s="40"/>
      <c r="F972" s="30">
        <f t="shared" si="58"/>
        <v>15382.9</v>
      </c>
      <c r="H972" s="7">
        <v>111.6</v>
      </c>
      <c r="I972" s="7"/>
      <c r="J972" s="7"/>
      <c r="K972" s="7"/>
      <c r="L972" s="7">
        <v>103.15</v>
      </c>
      <c r="M972" s="7">
        <v>111.6</v>
      </c>
      <c r="W972" s="63">
        <v>8.2638888888888887E-2</v>
      </c>
      <c r="X972" s="30">
        <v>103.15</v>
      </c>
      <c r="Y972" s="30">
        <v>75.55</v>
      </c>
    </row>
    <row r="973" spans="2:25" x14ac:dyDescent="0.3">
      <c r="B973" s="26">
        <f>B972+50</f>
        <v>15350</v>
      </c>
      <c r="C973" s="30">
        <v>65.150000000000006</v>
      </c>
      <c r="D973" s="23">
        <v>61.1</v>
      </c>
      <c r="E973" s="40"/>
      <c r="F973" s="50">
        <f t="shared" si="58"/>
        <v>15411.1</v>
      </c>
      <c r="H973" s="7">
        <v>84.9</v>
      </c>
      <c r="I973" s="7"/>
      <c r="J973" s="7"/>
      <c r="K973" s="7"/>
      <c r="L973" s="7">
        <v>77</v>
      </c>
      <c r="M973" s="7">
        <v>84.9</v>
      </c>
    </row>
    <row r="974" spans="2:25" x14ac:dyDescent="0.3">
      <c r="B974" s="72">
        <f>B973+50</f>
        <v>15400</v>
      </c>
      <c r="C974" s="51">
        <v>46.5</v>
      </c>
      <c r="D974" s="30">
        <v>43.65</v>
      </c>
      <c r="E974" s="40"/>
      <c r="F974" s="30">
        <f t="shared" si="58"/>
        <v>15443.65</v>
      </c>
      <c r="H974" s="7">
        <v>64</v>
      </c>
      <c r="I974" s="7"/>
      <c r="J974" s="7"/>
      <c r="K974" s="7"/>
      <c r="L974" s="7">
        <v>54.6</v>
      </c>
      <c r="M974" s="7">
        <v>64</v>
      </c>
      <c r="Q974" s="133" t="s">
        <v>72</v>
      </c>
      <c r="R974" s="134"/>
      <c r="S974" s="135"/>
      <c r="W974" s="34" t="s">
        <v>68</v>
      </c>
      <c r="X974" s="56" t="s">
        <v>69</v>
      </c>
      <c r="Y974" s="57" t="s">
        <v>70</v>
      </c>
    </row>
    <row r="975" spans="2:25" x14ac:dyDescent="0.3">
      <c r="B975" s="26">
        <f>B974+50</f>
        <v>15450</v>
      </c>
      <c r="C975" s="30">
        <v>31.55</v>
      </c>
      <c r="D975" s="30">
        <v>30.3</v>
      </c>
      <c r="E975" s="40"/>
      <c r="F975" s="30">
        <f t="shared" si="58"/>
        <v>15480.3</v>
      </c>
      <c r="H975" s="7">
        <v>45.15</v>
      </c>
      <c r="I975" s="7"/>
      <c r="J975" s="7"/>
      <c r="K975" s="7"/>
      <c r="L975" s="7">
        <v>37.549999999999997</v>
      </c>
      <c r="M975" s="7">
        <v>45.15</v>
      </c>
      <c r="Q975" s="30"/>
      <c r="R975" s="73">
        <v>525</v>
      </c>
      <c r="S975" s="30">
        <f>R975*Q975</f>
        <v>0</v>
      </c>
      <c r="W975" s="63">
        <v>0.41597222222222219</v>
      </c>
      <c r="X975" s="30">
        <v>46.5</v>
      </c>
      <c r="Y975" s="30">
        <v>56.15</v>
      </c>
    </row>
    <row r="976" spans="2:25" x14ac:dyDescent="0.3">
      <c r="D976" s="40"/>
      <c r="E976" s="40">
        <f>F976-(G976-F976)</f>
        <v>41.725000000000023</v>
      </c>
      <c r="F976" s="40">
        <f>AVERAGE(C973,C983)</f>
        <v>60.650000000000006</v>
      </c>
      <c r="G976" s="40">
        <f>AVERAGE(C972,C982)</f>
        <v>79.574999999999989</v>
      </c>
      <c r="H976" s="17"/>
      <c r="I976" s="17"/>
      <c r="J976" s="17"/>
      <c r="K976" s="76"/>
      <c r="L976" s="17"/>
      <c r="M976" s="17"/>
      <c r="Q976" s="30"/>
      <c r="R976" s="73"/>
      <c r="S976" s="30">
        <f>R976*Q976</f>
        <v>0</v>
      </c>
      <c r="W976" s="63">
        <v>0.4368055555555555</v>
      </c>
      <c r="X976" s="30">
        <v>47.85</v>
      </c>
      <c r="Y976" s="30">
        <v>53.45</v>
      </c>
    </row>
    <row r="977" spans="2:25" x14ac:dyDescent="0.3">
      <c r="C977" s="64">
        <v>44245</v>
      </c>
      <c r="E977" s="40"/>
      <c r="F977" s="40">
        <f>AVERAGE(E976,F976)</f>
        <v>51.187500000000014</v>
      </c>
      <c r="G977" s="40"/>
      <c r="H977" s="66">
        <v>0.13541666666666666</v>
      </c>
      <c r="I977" s="66"/>
      <c r="J977" s="66"/>
      <c r="K977" s="66"/>
      <c r="L977" s="66">
        <v>8.3333333333333329E-2</v>
      </c>
      <c r="M977" s="66">
        <v>0.13541666666666666</v>
      </c>
      <c r="Q977" s="30"/>
      <c r="R977" s="73"/>
      <c r="S977" s="30">
        <f>R977*Q977</f>
        <v>0</v>
      </c>
      <c r="W977" s="63">
        <v>0.45763888888888887</v>
      </c>
      <c r="X977" s="30">
        <v>53.95</v>
      </c>
      <c r="Y977" s="30">
        <v>47.55</v>
      </c>
    </row>
    <row r="978" spans="2:25" x14ac:dyDescent="0.3">
      <c r="B978" s="34" t="s">
        <v>68</v>
      </c>
      <c r="C978" s="63">
        <v>0.41666666666666669</v>
      </c>
      <c r="D978" s="63">
        <v>0.39513888888888887</v>
      </c>
      <c r="E978" s="40">
        <f>F978-(G978-F978)</f>
        <v>47.274999999999991</v>
      </c>
      <c r="F978" s="40">
        <f>AVERAGE(C982,C973)</f>
        <v>67.974999999999994</v>
      </c>
      <c r="G978" s="40">
        <f>AVERAGE(C981,C972)</f>
        <v>88.674999999999997</v>
      </c>
      <c r="H978" s="7">
        <v>15332.4</v>
      </c>
      <c r="I978" s="7"/>
      <c r="J978" s="7"/>
      <c r="K978" s="7"/>
      <c r="L978" s="7">
        <v>15313</v>
      </c>
      <c r="M978" s="7">
        <v>15332.4</v>
      </c>
      <c r="Q978" s="30">
        <f>S978/R978</f>
        <v>0</v>
      </c>
      <c r="R978" s="73">
        <f>SUM(R975:R977)</f>
        <v>525</v>
      </c>
      <c r="S978" s="30">
        <f>SUM(S975:S977)</f>
        <v>0</v>
      </c>
      <c r="V978" s="40"/>
      <c r="W978" s="63">
        <v>0.47847222222222219</v>
      </c>
      <c r="X978" s="30">
        <v>53.05</v>
      </c>
      <c r="Y978" s="30">
        <v>48.05</v>
      </c>
    </row>
    <row r="979" spans="2:25" x14ac:dyDescent="0.3">
      <c r="B979" s="26">
        <f>B980+50</f>
        <v>15350</v>
      </c>
      <c r="C979" s="30">
        <v>138</v>
      </c>
      <c r="D979" s="30">
        <v>127.35</v>
      </c>
      <c r="E979" s="40"/>
      <c r="F979" s="30">
        <f t="shared" ref="F979:F984" si="59">B979-D979</f>
        <v>15222.65</v>
      </c>
      <c r="H979" s="7">
        <v>103.8</v>
      </c>
      <c r="I979" s="7"/>
      <c r="J979" s="7"/>
      <c r="K979" s="7"/>
      <c r="L979" s="7">
        <v>119.3</v>
      </c>
      <c r="M979" s="7">
        <v>103.8</v>
      </c>
      <c r="P979" s="50">
        <f>S984</f>
        <v>0</v>
      </c>
      <c r="Q979" s="57" t="s">
        <v>72</v>
      </c>
      <c r="S979" s="57" t="s">
        <v>73</v>
      </c>
      <c r="T979" s="23">
        <f>((X976+Y976)-(X984+Y984))</f>
        <v>-0.89999999999999147</v>
      </c>
      <c r="U979" s="23"/>
      <c r="V979" s="50">
        <f>T979*525</f>
        <v>-472.49999999999551</v>
      </c>
      <c r="W979" s="63">
        <v>0.4993055555555555</v>
      </c>
      <c r="X979" s="30">
        <v>54.2</v>
      </c>
      <c r="Y979" s="30">
        <v>48.1</v>
      </c>
    </row>
    <row r="980" spans="2:25" x14ac:dyDescent="0.3">
      <c r="B980" s="26">
        <f>B981+50</f>
        <v>15300</v>
      </c>
      <c r="C980" s="30">
        <v>111.9</v>
      </c>
      <c r="D980" s="30">
        <v>102.2</v>
      </c>
      <c r="E980" s="40"/>
      <c r="F980" s="30">
        <f t="shared" si="59"/>
        <v>15197.8</v>
      </c>
      <c r="H980" s="7">
        <v>81.599999999999994</v>
      </c>
      <c r="I980" s="7"/>
      <c r="J980" s="7"/>
      <c r="K980" s="7"/>
      <c r="L980" s="7">
        <v>94.75</v>
      </c>
      <c r="M980" s="7">
        <v>81.599999999999994</v>
      </c>
      <c r="Q980" s="30"/>
      <c r="R980" s="73">
        <v>525</v>
      </c>
      <c r="S980" s="30">
        <f>R980*Q980</f>
        <v>0</v>
      </c>
      <c r="W980" s="63">
        <v>0.52013888888888882</v>
      </c>
      <c r="X980" s="30">
        <v>52.7</v>
      </c>
      <c r="Y980" s="30">
        <v>48.5</v>
      </c>
    </row>
    <row r="981" spans="2:25" x14ac:dyDescent="0.3">
      <c r="B981" s="79">
        <v>15250</v>
      </c>
      <c r="C981" s="30">
        <v>89</v>
      </c>
      <c r="D981" s="7">
        <v>81.3</v>
      </c>
      <c r="E981" s="40"/>
      <c r="F981" s="30">
        <f t="shared" si="59"/>
        <v>15168.7</v>
      </c>
      <c r="H981" s="7">
        <v>63.3</v>
      </c>
      <c r="I981" s="7"/>
      <c r="J981" s="7"/>
      <c r="K981" s="7"/>
      <c r="L981" s="7">
        <v>75.55</v>
      </c>
      <c r="M981" s="7">
        <v>63.3</v>
      </c>
      <c r="Q981" s="30"/>
      <c r="R981" s="73"/>
      <c r="S981" s="30">
        <f>R981*Q981</f>
        <v>0</v>
      </c>
      <c r="T981" s="40"/>
      <c r="U981" s="40"/>
      <c r="V981" s="40"/>
      <c r="W981" s="63">
        <v>0.54097222222222219</v>
      </c>
      <c r="X981" s="30">
        <v>54.1</v>
      </c>
      <c r="Y981" s="30">
        <v>48.95</v>
      </c>
    </row>
    <row r="982" spans="2:25" x14ac:dyDescent="0.3">
      <c r="B982" s="73">
        <f>B981-50</f>
        <v>15200</v>
      </c>
      <c r="C982" s="30">
        <v>70.8</v>
      </c>
      <c r="D982" s="23">
        <v>64.25</v>
      </c>
      <c r="E982" s="40"/>
      <c r="F982" s="50">
        <f t="shared" si="59"/>
        <v>15135.75</v>
      </c>
      <c r="H982" s="7">
        <v>49</v>
      </c>
      <c r="I982" s="7"/>
      <c r="J982" s="7"/>
      <c r="K982" s="7"/>
      <c r="L982" s="7">
        <v>59.8</v>
      </c>
      <c r="M982" s="7">
        <v>49</v>
      </c>
      <c r="Q982" s="30"/>
      <c r="R982" s="73"/>
      <c r="S982" s="30">
        <f>R982*Q982</f>
        <v>0</v>
      </c>
      <c r="T982" s="40"/>
      <c r="U982" s="40"/>
      <c r="V982" s="40"/>
      <c r="W982" s="63">
        <v>6.1805555555555558E-2</v>
      </c>
      <c r="X982" s="30">
        <v>54.65</v>
      </c>
      <c r="Y982" s="30">
        <v>50</v>
      </c>
    </row>
    <row r="983" spans="2:25" x14ac:dyDescent="0.3">
      <c r="B983" s="72">
        <f>B982-50</f>
        <v>15150</v>
      </c>
      <c r="C983" s="51">
        <v>56.15</v>
      </c>
      <c r="D983" s="7">
        <v>50.7</v>
      </c>
      <c r="E983" s="40"/>
      <c r="F983" s="30">
        <f t="shared" si="59"/>
        <v>15099.3</v>
      </c>
      <c r="H983" s="7">
        <v>38.200000000000003</v>
      </c>
      <c r="I983" s="7"/>
      <c r="J983" s="7"/>
      <c r="K983" s="7"/>
      <c r="L983" s="7">
        <v>47.55</v>
      </c>
      <c r="M983" s="7">
        <v>38.200000000000003</v>
      </c>
      <c r="Q983" s="30">
        <f>S983/R983</f>
        <v>0</v>
      </c>
      <c r="R983" s="73">
        <f>SUM(R980:R982)</f>
        <v>525</v>
      </c>
      <c r="S983" s="30">
        <f>SUM(S980:S982)</f>
        <v>0</v>
      </c>
      <c r="W983" s="63">
        <v>8.2638888888888887E-2</v>
      </c>
      <c r="X983" s="30">
        <v>54.6</v>
      </c>
      <c r="Y983" s="30">
        <v>47.55</v>
      </c>
    </row>
    <row r="984" spans="2:25" x14ac:dyDescent="0.3">
      <c r="B984" s="26">
        <f>B983-50</f>
        <v>15100</v>
      </c>
      <c r="C984" s="30">
        <v>44.3</v>
      </c>
      <c r="D984" s="30">
        <v>40.5</v>
      </c>
      <c r="E984" s="40"/>
      <c r="F984" s="30">
        <f t="shared" si="59"/>
        <v>15059.5</v>
      </c>
      <c r="H984" s="7">
        <v>30.4</v>
      </c>
      <c r="I984" s="7"/>
      <c r="J984" s="7"/>
      <c r="K984" s="7"/>
      <c r="L984" s="7">
        <v>38.6</v>
      </c>
      <c r="M984" s="7">
        <v>30.4</v>
      </c>
      <c r="Q984" s="136" t="e">
        <f>S984/(R978-R983)</f>
        <v>#DIV/0!</v>
      </c>
      <c r="R984" s="137"/>
      <c r="S984" s="30">
        <f>S983-S978</f>
        <v>0</v>
      </c>
      <c r="W984" s="63">
        <v>0.13541666666666666</v>
      </c>
      <c r="X984" s="30">
        <v>64</v>
      </c>
      <c r="Y984" s="30">
        <v>38.200000000000003</v>
      </c>
    </row>
    <row r="996" spans="2:25" x14ac:dyDescent="0.3">
      <c r="B996" s="40"/>
      <c r="C996" s="50">
        <f>B997+E997</f>
        <v>15439.8</v>
      </c>
      <c r="D996" s="51">
        <f>C996+E997</f>
        <v>15489.8</v>
      </c>
      <c r="E996" s="21"/>
      <c r="F996" s="21"/>
      <c r="H996" s="52" t="str">
        <f>IF((C1005-D1005)&gt;(C1014-D1014),"LONG",IF(C1014&gt;D1012,"LONG","SHORT"))</f>
        <v>SHORT</v>
      </c>
      <c r="I996" s="138" t="s">
        <v>102</v>
      </c>
      <c r="J996" s="139"/>
      <c r="K996" s="140"/>
      <c r="L996" s="53">
        <f>AVERAGE(L997:L998)</f>
        <v>134.10000000000002</v>
      </c>
      <c r="Q996" s="54">
        <v>0.39166666666666666</v>
      </c>
      <c r="R996" s="54">
        <v>0.39861111111111108</v>
      </c>
      <c r="S996" s="54">
        <v>0.4055555555555555</v>
      </c>
      <c r="T996" s="54">
        <v>0.41250000000000003</v>
      </c>
      <c r="U996" s="55"/>
      <c r="W996" s="34" t="s">
        <v>68</v>
      </c>
      <c r="X996" s="56" t="s">
        <v>69</v>
      </c>
      <c r="Y996" s="57" t="s">
        <v>70</v>
      </c>
    </row>
    <row r="997" spans="2:25" x14ac:dyDescent="0.3">
      <c r="B997" s="50">
        <v>15389.8</v>
      </c>
      <c r="C997" s="40"/>
      <c r="D997" s="58"/>
      <c r="E997" s="59">
        <f>ROUND((((B997*F997%)/4)/10),0)*10</f>
        <v>50</v>
      </c>
      <c r="F997" s="51">
        <v>1.4</v>
      </c>
      <c r="H997" s="60" t="s">
        <v>69</v>
      </c>
      <c r="I997" s="61">
        <f>AVERAGE(C1014,C1003)</f>
        <v>110.9</v>
      </c>
      <c r="J997" s="61">
        <f>AVERAGE(C1014,C1004)</f>
        <v>94.275000000000006</v>
      </c>
      <c r="K997" s="61">
        <f>AVERAGE(C1014,C1005)</f>
        <v>79.400000000000006</v>
      </c>
      <c r="L997" s="61">
        <f>C1003</f>
        <v>149.05000000000001</v>
      </c>
      <c r="Q997" s="51">
        <v>15409.95</v>
      </c>
      <c r="R997" s="51">
        <v>15420</v>
      </c>
      <c r="S997" s="51">
        <v>15415.6</v>
      </c>
      <c r="T997" s="51">
        <v>15390</v>
      </c>
      <c r="U997" s="62"/>
      <c r="W997" s="63">
        <v>0.41597222222222219</v>
      </c>
      <c r="X997" s="30">
        <v>86.05</v>
      </c>
      <c r="Y997" s="30">
        <v>72.75</v>
      </c>
    </row>
    <row r="998" spans="2:25" x14ac:dyDescent="0.3">
      <c r="B998" s="40"/>
      <c r="C998" s="50">
        <f>B997-E997</f>
        <v>15339.8</v>
      </c>
      <c r="D998" s="51">
        <f>C998-E997</f>
        <v>15289.8</v>
      </c>
      <c r="E998" s="21"/>
      <c r="F998" s="21"/>
      <c r="H998" s="60" t="s">
        <v>70</v>
      </c>
      <c r="I998" s="61">
        <f>AVERAGE(C1005,C1012)</f>
        <v>102.6</v>
      </c>
      <c r="J998" s="61">
        <f>AVERAGE(C1005,C1013)</f>
        <v>89.875</v>
      </c>
      <c r="K998" s="61">
        <f>AVERAGE(C1005,C1014)</f>
        <v>79.400000000000006</v>
      </c>
      <c r="L998" s="61">
        <f>C1012</f>
        <v>119.15</v>
      </c>
      <c r="W998" s="63">
        <v>0.4368055555555555</v>
      </c>
      <c r="X998" s="30">
        <v>86.5</v>
      </c>
      <c r="Y998" s="30">
        <v>71.2</v>
      </c>
    </row>
    <row r="999" spans="2:25" x14ac:dyDescent="0.3">
      <c r="F999" s="40"/>
      <c r="G999" s="40"/>
      <c r="K999" s="40"/>
      <c r="R999">
        <f>ROUND((25000/49.3)/75,0)*75</f>
        <v>525</v>
      </c>
      <c r="W999" s="63">
        <v>0.45763888888888887</v>
      </c>
      <c r="X999" s="30">
        <v>88.95</v>
      </c>
      <c r="Y999" s="30">
        <v>66.400000000000006</v>
      </c>
    </row>
    <row r="1000" spans="2:25" x14ac:dyDescent="0.3">
      <c r="B1000" s="40"/>
      <c r="P1000" s="40"/>
      <c r="W1000" s="63">
        <v>0.47847222222222219</v>
      </c>
      <c r="X1000" s="30">
        <v>70.75</v>
      </c>
      <c r="Y1000" s="30">
        <v>89.8</v>
      </c>
    </row>
    <row r="1001" spans="2:25" x14ac:dyDescent="0.3">
      <c r="C1001" s="64">
        <v>44243</v>
      </c>
      <c r="F1001" s="30">
        <f>AVERAGE(F1003,F1012)</f>
        <v>15397.45</v>
      </c>
      <c r="G1001" s="65"/>
      <c r="H1001" s="66">
        <v>0.53055555555555556</v>
      </c>
      <c r="I1001" s="66">
        <v>0.1076388888888889</v>
      </c>
      <c r="J1001" s="66">
        <v>4.4444444444444446E-2</v>
      </c>
      <c r="K1001" s="66"/>
      <c r="L1001" s="66">
        <v>8.3333333333333329E-2</v>
      </c>
      <c r="M1001" s="66">
        <v>0.13541666666666666</v>
      </c>
      <c r="P1001" s="40"/>
      <c r="Q1001" s="132" t="s">
        <v>71</v>
      </c>
      <c r="R1001" s="132"/>
      <c r="S1001" s="132" t="s">
        <v>37</v>
      </c>
      <c r="T1001" s="132"/>
      <c r="U1001" s="69"/>
      <c r="W1001" s="63">
        <v>0.4993055555555555</v>
      </c>
      <c r="X1001" s="30">
        <v>72.45</v>
      </c>
      <c r="Y1001" s="30">
        <v>84.85</v>
      </c>
    </row>
    <row r="1002" spans="2:25" x14ac:dyDescent="0.3">
      <c r="B1002" s="34" t="s">
        <v>68</v>
      </c>
      <c r="C1002" s="63">
        <v>0.41666666666666669</v>
      </c>
      <c r="D1002" s="63">
        <v>0.41250000000000003</v>
      </c>
      <c r="H1002" s="7">
        <v>15330.35</v>
      </c>
      <c r="I1002" s="7">
        <v>15324.95</v>
      </c>
      <c r="J1002" s="7">
        <v>15280</v>
      </c>
      <c r="K1002" s="7"/>
      <c r="L1002" s="7"/>
      <c r="M1002" s="7">
        <v>15327.7</v>
      </c>
      <c r="Q1002" s="61">
        <f>R1002-(S1002-R1002)</f>
        <v>0</v>
      </c>
      <c r="R1002" s="61"/>
      <c r="S1002" s="61"/>
      <c r="T1002" s="61">
        <f>S1002+(S1002-R1002)</f>
        <v>0</v>
      </c>
      <c r="U1002" s="71"/>
      <c r="W1002" s="63">
        <v>0.52013888888888882</v>
      </c>
      <c r="X1002" s="30">
        <v>69.849999999999994</v>
      </c>
      <c r="Y1002" s="30">
        <v>86</v>
      </c>
    </row>
    <row r="1003" spans="2:25" x14ac:dyDescent="0.3">
      <c r="B1003" s="26">
        <f>B1004-50</f>
        <v>15300</v>
      </c>
      <c r="C1003" s="30">
        <v>149.05000000000001</v>
      </c>
      <c r="D1003" s="30">
        <v>148</v>
      </c>
      <c r="E1003" s="40"/>
      <c r="F1003" s="30">
        <f t="shared" ref="F1003:F1008" si="60">B1003+D1003</f>
        <v>15448</v>
      </c>
      <c r="H1003" s="7">
        <v>109.85</v>
      </c>
      <c r="I1003" s="7">
        <v>96.35</v>
      </c>
      <c r="J1003" s="7">
        <v>83.2</v>
      </c>
      <c r="K1003" s="7"/>
      <c r="L1003" s="7">
        <v>68.95</v>
      </c>
      <c r="M1003" s="7">
        <v>96.2</v>
      </c>
      <c r="R1003" s="40"/>
      <c r="S1003" s="40"/>
      <c r="T1003" s="40">
        <v>15389.8</v>
      </c>
      <c r="U1003" s="40"/>
      <c r="W1003" s="63">
        <v>0.54097222222222219</v>
      </c>
      <c r="X1003" s="30">
        <v>55.9</v>
      </c>
      <c r="Y1003" s="30">
        <v>105.9</v>
      </c>
    </row>
    <row r="1004" spans="2:25" x14ac:dyDescent="0.3">
      <c r="B1004" s="26">
        <f>B1005-50</f>
        <v>15350</v>
      </c>
      <c r="C1004" s="30">
        <v>115.8</v>
      </c>
      <c r="D1004" s="30">
        <v>114.45</v>
      </c>
      <c r="E1004" s="40"/>
      <c r="F1004" s="30">
        <f t="shared" si="60"/>
        <v>15464.45</v>
      </c>
      <c r="H1004" s="7">
        <v>82.4</v>
      </c>
      <c r="I1004" s="7">
        <v>70.3</v>
      </c>
      <c r="J1004" s="7">
        <v>60.55</v>
      </c>
      <c r="K1004" s="7"/>
      <c r="L1004" s="7">
        <v>49.65</v>
      </c>
      <c r="M1004" s="7">
        <v>70.400000000000006</v>
      </c>
      <c r="T1004" s="40">
        <v>15339.8</v>
      </c>
      <c r="U1004" s="40"/>
      <c r="W1004" s="63">
        <v>6.1805555555555558E-2</v>
      </c>
      <c r="X1004" s="30">
        <v>47.3</v>
      </c>
      <c r="Y1004" s="30">
        <v>117.7</v>
      </c>
    </row>
    <row r="1005" spans="2:25" x14ac:dyDescent="0.3">
      <c r="B1005" s="79">
        <v>15400</v>
      </c>
      <c r="C1005" s="30">
        <v>86.05</v>
      </c>
      <c r="D1005" s="30">
        <v>85.6</v>
      </c>
      <c r="E1005" s="40"/>
      <c r="F1005" s="30">
        <f t="shared" si="60"/>
        <v>15485.6</v>
      </c>
      <c r="H1005" s="7">
        <v>59.7</v>
      </c>
      <c r="I1005" s="7">
        <v>49.85</v>
      </c>
      <c r="J1005" s="7">
        <v>41.85</v>
      </c>
      <c r="K1005" s="7"/>
      <c r="L1005" s="7">
        <v>34.450000000000003</v>
      </c>
      <c r="M1005" s="7">
        <v>49.15</v>
      </c>
      <c r="T1005" s="40">
        <v>15289.8</v>
      </c>
      <c r="U1005" s="40"/>
      <c r="W1005" s="63">
        <v>8.2638888888888887E-2</v>
      </c>
      <c r="X1005" s="30">
        <v>34.450000000000003</v>
      </c>
      <c r="Y1005" s="30">
        <v>142.5</v>
      </c>
    </row>
    <row r="1006" spans="2:25" x14ac:dyDescent="0.3">
      <c r="B1006" s="26">
        <f>B1005+50</f>
        <v>15450</v>
      </c>
      <c r="C1006" s="30">
        <v>62.05</v>
      </c>
      <c r="D1006" s="23">
        <v>61.15</v>
      </c>
      <c r="E1006" s="40"/>
      <c r="F1006" s="50">
        <f t="shared" si="60"/>
        <v>15511.15</v>
      </c>
      <c r="H1006" s="7">
        <v>41.85</v>
      </c>
      <c r="I1006" s="7">
        <v>34.15</v>
      </c>
      <c r="J1006" s="7">
        <v>27.95</v>
      </c>
      <c r="K1006" s="7"/>
      <c r="L1006" s="7">
        <v>23.5</v>
      </c>
      <c r="M1006" s="7">
        <v>33.1</v>
      </c>
    </row>
    <row r="1007" spans="2:25" x14ac:dyDescent="0.3">
      <c r="B1007" s="72">
        <f>B1006+50</f>
        <v>15500</v>
      </c>
      <c r="C1007" s="51">
        <v>42.1</v>
      </c>
      <c r="D1007" s="7">
        <v>41.35</v>
      </c>
      <c r="E1007" s="40"/>
      <c r="F1007" s="30">
        <f t="shared" si="60"/>
        <v>15541.35</v>
      </c>
      <c r="H1007" s="7">
        <v>27.75</v>
      </c>
      <c r="I1007" s="7">
        <v>22.5</v>
      </c>
      <c r="J1007" s="7">
        <v>18.149999999999999</v>
      </c>
      <c r="K1007" s="7"/>
      <c r="L1007" s="7">
        <v>15.65</v>
      </c>
      <c r="M1007" s="7">
        <v>21.65</v>
      </c>
      <c r="Q1007" s="133" t="s">
        <v>72</v>
      </c>
      <c r="R1007" s="134"/>
      <c r="S1007" s="135"/>
      <c r="W1007" s="34" t="s">
        <v>68</v>
      </c>
      <c r="X1007" s="56" t="s">
        <v>69</v>
      </c>
      <c r="Y1007" s="57" t="s">
        <v>70</v>
      </c>
    </row>
    <row r="1008" spans="2:25" x14ac:dyDescent="0.3">
      <c r="B1008" s="26">
        <f>B1007+50</f>
        <v>15550</v>
      </c>
      <c r="C1008" s="30">
        <v>27</v>
      </c>
      <c r="D1008" s="30">
        <v>26.1</v>
      </c>
      <c r="E1008" s="40"/>
      <c r="F1008" s="30">
        <f t="shared" si="60"/>
        <v>15576.1</v>
      </c>
      <c r="H1008" s="7">
        <v>17.649999999999999</v>
      </c>
      <c r="I1008" s="7">
        <v>14.2</v>
      </c>
      <c r="J1008" s="7">
        <v>11.05</v>
      </c>
      <c r="K1008" s="7"/>
      <c r="L1008" s="7">
        <v>10.5</v>
      </c>
      <c r="M1008" s="7">
        <v>13.55</v>
      </c>
      <c r="Q1008" s="30">
        <v>60.55</v>
      </c>
      <c r="R1008" s="73">
        <v>75</v>
      </c>
      <c r="S1008" s="30">
        <f>R1008*Q1008</f>
        <v>4541.25</v>
      </c>
      <c r="W1008" s="63">
        <v>0.41597222222222219</v>
      </c>
      <c r="X1008" s="30">
        <v>42.1</v>
      </c>
      <c r="Y1008" s="30">
        <v>43.7</v>
      </c>
    </row>
    <row r="1009" spans="2:25" x14ac:dyDescent="0.3">
      <c r="D1009" s="40"/>
      <c r="E1009" s="40">
        <f>F1009-(G1009-F1009)</f>
        <v>39.349999999999994</v>
      </c>
      <c r="F1009" s="40">
        <f>AVERAGE(C1006,C1015)</f>
        <v>59.375</v>
      </c>
      <c r="G1009" s="40">
        <f>AVERAGE(C1005,C1014)</f>
        <v>79.400000000000006</v>
      </c>
      <c r="H1009" s="17"/>
      <c r="I1009" s="17"/>
      <c r="J1009" s="17"/>
      <c r="K1009" s="76"/>
      <c r="L1009" s="17"/>
      <c r="M1009" s="17"/>
      <c r="Q1009" s="30">
        <v>60.55</v>
      </c>
      <c r="R1009" s="73">
        <v>75</v>
      </c>
      <c r="S1009" s="30">
        <f>R1009*Q1009</f>
        <v>4541.25</v>
      </c>
      <c r="W1009" s="63">
        <v>0.4368055555555555</v>
      </c>
      <c r="X1009" s="30">
        <v>42</v>
      </c>
      <c r="Y1009" s="30">
        <v>41.7</v>
      </c>
    </row>
    <row r="1010" spans="2:25" x14ac:dyDescent="0.3">
      <c r="C1010" s="64">
        <v>44245</v>
      </c>
      <c r="E1010" s="40"/>
      <c r="F1010" s="40">
        <f>AVERAGE(E1009,F1009)</f>
        <v>49.362499999999997</v>
      </c>
      <c r="G1010" s="40"/>
      <c r="H1010" s="66">
        <v>0.53055555555555556</v>
      </c>
      <c r="I1010" s="66">
        <v>0.1076388888888889</v>
      </c>
      <c r="J1010" s="66">
        <v>4.4444444444444446E-2</v>
      </c>
      <c r="K1010" s="66"/>
      <c r="L1010" s="66">
        <v>8.3333333333333329E-2</v>
      </c>
      <c r="M1010" s="66">
        <v>0.13541666666666666</v>
      </c>
      <c r="Q1010" s="30"/>
      <c r="R1010" s="73"/>
      <c r="S1010" s="30">
        <f>R1010*Q1010</f>
        <v>0</v>
      </c>
      <c r="W1010" s="63">
        <v>0.45763888888888887</v>
      </c>
      <c r="X1010" s="30">
        <v>42.9</v>
      </c>
      <c r="Y1010" s="30">
        <v>38.700000000000003</v>
      </c>
    </row>
    <row r="1011" spans="2:25" x14ac:dyDescent="0.3">
      <c r="B1011" s="34" t="s">
        <v>68</v>
      </c>
      <c r="C1011" s="63">
        <v>0.41666666666666669</v>
      </c>
      <c r="D1011" s="63">
        <v>0.3972222222222222</v>
      </c>
      <c r="E1011" s="40">
        <f>F1011-(G1011-F1011)</f>
        <v>39.349999999999994</v>
      </c>
      <c r="F1011" s="40">
        <f>AVERAGE(C1015,C1006)</f>
        <v>59.375</v>
      </c>
      <c r="G1011" s="40">
        <f>AVERAGE(C1014,C1005)</f>
        <v>79.400000000000006</v>
      </c>
      <c r="H1011" s="23">
        <v>59.3</v>
      </c>
      <c r="I1011" s="23">
        <v>49.3</v>
      </c>
      <c r="J1011" s="23">
        <v>79.400000000000006</v>
      </c>
      <c r="K1011" s="7"/>
      <c r="L1011" s="7"/>
      <c r="M1011" s="7">
        <v>15327.7</v>
      </c>
      <c r="Q1011" s="30">
        <f>S1011/R1011</f>
        <v>60.55</v>
      </c>
      <c r="R1011" s="73">
        <f>SUM(R1008:R1010)</f>
        <v>150</v>
      </c>
      <c r="S1011" s="30">
        <f>SUM(S1008:S1010)</f>
        <v>9082.5</v>
      </c>
      <c r="V1011" s="40"/>
      <c r="W1011" s="63">
        <v>0.47847222222222219</v>
      </c>
      <c r="X1011" s="30">
        <v>33.799999999999997</v>
      </c>
      <c r="Y1011" s="30">
        <v>53.25</v>
      </c>
    </row>
    <row r="1012" spans="2:25" x14ac:dyDescent="0.3">
      <c r="B1012" s="26">
        <f>B1013+50</f>
        <v>15450</v>
      </c>
      <c r="C1012" s="30">
        <v>119.15</v>
      </c>
      <c r="D1012" s="30">
        <v>103.1</v>
      </c>
      <c r="E1012" s="40"/>
      <c r="F1012" s="30">
        <f t="shared" ref="F1012:F1017" si="61">B1012-D1012</f>
        <v>15346.9</v>
      </c>
      <c r="H1012" s="7">
        <v>161.55000000000001</v>
      </c>
      <c r="I1012" s="7">
        <v>159.35</v>
      </c>
      <c r="J1012" s="7">
        <v>199</v>
      </c>
      <c r="K1012" s="7"/>
      <c r="L1012" s="7">
        <v>217.2</v>
      </c>
      <c r="M1012" s="7">
        <v>156.1</v>
      </c>
      <c r="P1012" s="50">
        <f>S1017</f>
        <v>1117.5</v>
      </c>
      <c r="Q1012" s="57" t="s">
        <v>72</v>
      </c>
      <c r="S1012" s="57" t="s">
        <v>73</v>
      </c>
      <c r="T1012" s="23">
        <f>((X1009+Y1009)-(X1017+Y1017))</f>
        <v>6.7500000000000142</v>
      </c>
      <c r="U1012" s="23"/>
      <c r="V1012" s="50">
        <f>T1012*225</f>
        <v>1518.7500000000032</v>
      </c>
      <c r="W1012" s="63">
        <v>0.4993055555555555</v>
      </c>
      <c r="X1012" s="30">
        <v>34.85</v>
      </c>
      <c r="Y1012" s="30">
        <v>49.85</v>
      </c>
    </row>
    <row r="1013" spans="2:25" x14ac:dyDescent="0.3">
      <c r="B1013" s="26">
        <f>B1014+50</f>
        <v>15400</v>
      </c>
      <c r="C1013" s="30">
        <v>93.7</v>
      </c>
      <c r="D1013" s="30">
        <v>81</v>
      </c>
      <c r="E1013" s="40"/>
      <c r="F1013" s="30">
        <f t="shared" si="61"/>
        <v>15319</v>
      </c>
      <c r="H1013" s="7">
        <v>128.9</v>
      </c>
      <c r="I1013" s="7">
        <v>124.95</v>
      </c>
      <c r="J1013" s="7">
        <v>162.25</v>
      </c>
      <c r="K1013" s="7"/>
      <c r="L1013" s="7">
        <v>177.15</v>
      </c>
      <c r="M1013" s="7">
        <v>122</v>
      </c>
      <c r="Q1013" s="30">
        <v>81.55</v>
      </c>
      <c r="R1013" s="73">
        <v>75</v>
      </c>
      <c r="S1013" s="30">
        <f>R1013*Q1013</f>
        <v>6116.25</v>
      </c>
      <c r="W1013" s="63">
        <v>0.52013888888888882</v>
      </c>
      <c r="X1013" s="30">
        <v>33.549999999999997</v>
      </c>
      <c r="Y1013" s="30">
        <v>51.15</v>
      </c>
    </row>
    <row r="1014" spans="2:25" x14ac:dyDescent="0.3">
      <c r="B1014" s="79">
        <v>15350</v>
      </c>
      <c r="C1014" s="30">
        <v>72.75</v>
      </c>
      <c r="D1014" s="7">
        <v>63.4</v>
      </c>
      <c r="E1014" s="40"/>
      <c r="F1014" s="30">
        <f t="shared" si="61"/>
        <v>15286.6</v>
      </c>
      <c r="H1014" s="7">
        <v>101.25</v>
      </c>
      <c r="I1014" s="7">
        <v>95.1</v>
      </c>
      <c r="J1014" s="7">
        <v>130.80000000000001</v>
      </c>
      <c r="K1014" s="7"/>
      <c r="L1014" s="7">
        <v>142.5</v>
      </c>
      <c r="M1014" s="7">
        <v>93.2</v>
      </c>
      <c r="Q1014" s="30">
        <v>54.45</v>
      </c>
      <c r="R1014" s="73">
        <v>75</v>
      </c>
      <c r="S1014" s="30">
        <f>R1014*Q1014</f>
        <v>4083.75</v>
      </c>
      <c r="T1014" s="40"/>
      <c r="U1014" s="40"/>
      <c r="V1014" s="40"/>
      <c r="W1014" s="63">
        <v>0.54097222222222219</v>
      </c>
      <c r="X1014" s="30">
        <v>25.8</v>
      </c>
      <c r="Y1014" s="30">
        <v>63.55</v>
      </c>
    </row>
    <row r="1015" spans="2:25" x14ac:dyDescent="0.3">
      <c r="B1015" s="73">
        <f>B1014-50</f>
        <v>15300</v>
      </c>
      <c r="C1015" s="30">
        <v>56.7</v>
      </c>
      <c r="D1015" s="23">
        <v>49.55</v>
      </c>
      <c r="E1015" s="40"/>
      <c r="F1015" s="50">
        <f t="shared" si="61"/>
        <v>15250.45</v>
      </c>
      <c r="H1015" s="7">
        <v>78.849999999999994</v>
      </c>
      <c r="I1015" s="7">
        <v>71.349999999999994</v>
      </c>
      <c r="J1015" s="7">
        <v>103.85</v>
      </c>
      <c r="K1015" s="7"/>
      <c r="L1015" s="7">
        <v>112.35</v>
      </c>
      <c r="M1015" s="7">
        <v>69.2</v>
      </c>
      <c r="Q1015" s="30"/>
      <c r="R1015" s="73"/>
      <c r="S1015" s="30">
        <f>R1015*Q1015</f>
        <v>0</v>
      </c>
      <c r="T1015" s="40"/>
      <c r="U1015" s="40"/>
      <c r="V1015" s="40"/>
      <c r="W1015" s="63">
        <v>6.1805555555555558E-2</v>
      </c>
      <c r="X1015" s="30">
        <v>21.1</v>
      </c>
      <c r="Y1015" s="30">
        <v>70.2</v>
      </c>
    </row>
    <row r="1016" spans="2:25" x14ac:dyDescent="0.3">
      <c r="B1016" s="72">
        <f>B1015-50</f>
        <v>15250</v>
      </c>
      <c r="C1016" s="51">
        <v>43.7</v>
      </c>
      <c r="D1016" s="7">
        <v>38.6</v>
      </c>
      <c r="E1016" s="40"/>
      <c r="F1016" s="30">
        <f t="shared" si="61"/>
        <v>15211.4</v>
      </c>
      <c r="H1016" s="7">
        <v>60.55</v>
      </c>
      <c r="I1016" s="7">
        <v>52.35</v>
      </c>
      <c r="J1016" s="7">
        <v>81.55</v>
      </c>
      <c r="K1016" s="7"/>
      <c r="L1016" s="7">
        <v>87.4</v>
      </c>
      <c r="M1016" s="7">
        <v>50.85</v>
      </c>
      <c r="Q1016" s="30">
        <f>S1016/R1016</f>
        <v>68</v>
      </c>
      <c r="R1016" s="73">
        <f>SUM(R1013:R1015)</f>
        <v>150</v>
      </c>
      <c r="S1016" s="30">
        <f>SUM(S1013:S1015)</f>
        <v>10200</v>
      </c>
      <c r="W1016" s="63">
        <v>8.2638888888888887E-2</v>
      </c>
      <c r="X1016" s="30">
        <v>15.65</v>
      </c>
      <c r="Y1016" s="30">
        <v>87.4</v>
      </c>
    </row>
    <row r="1017" spans="2:25" x14ac:dyDescent="0.3">
      <c r="B1017" s="26">
        <f>B1016-50</f>
        <v>15200</v>
      </c>
      <c r="C1017" s="30">
        <v>34.15</v>
      </c>
      <c r="D1017" s="30">
        <v>30</v>
      </c>
      <c r="E1017" s="40"/>
      <c r="F1017" s="30">
        <f t="shared" si="61"/>
        <v>15170</v>
      </c>
      <c r="H1017" s="7">
        <v>46.05</v>
      </c>
      <c r="I1017" s="7">
        <v>37.6</v>
      </c>
      <c r="J1017" s="7">
        <v>62.85</v>
      </c>
      <c r="K1017" s="7"/>
      <c r="L1017" s="7">
        <v>67.05</v>
      </c>
      <c r="M1017" s="7">
        <v>36.6</v>
      </c>
      <c r="Q1017" s="136" t="e">
        <f>S1017/(R1011-R1016)</f>
        <v>#DIV/0!</v>
      </c>
      <c r="R1017" s="137"/>
      <c r="S1017" s="30">
        <f>S1016-S1011</f>
        <v>1117.5</v>
      </c>
      <c r="W1017" s="63">
        <v>0.53055555555555556</v>
      </c>
      <c r="X1017" s="30">
        <v>17.649999999999999</v>
      </c>
      <c r="Y1017" s="23">
        <v>59.3</v>
      </c>
    </row>
    <row r="1029" spans="2:26" x14ac:dyDescent="0.3">
      <c r="B1029" s="40"/>
      <c r="C1029" s="50">
        <f>B1030+E1030</f>
        <v>15287.95</v>
      </c>
      <c r="D1029" s="51">
        <f>C1029+E1030</f>
        <v>15347.95</v>
      </c>
      <c r="E1029" s="21"/>
      <c r="F1029" s="21"/>
      <c r="H1029" s="52" t="str">
        <f>IF((C1038-D1038)&gt;(C1047-D1047),"LONG",IF(C1047&gt;D1045,"LONG","SHORT"))</f>
        <v>SHORT</v>
      </c>
      <c r="I1029" s="138" t="s">
        <v>103</v>
      </c>
      <c r="J1029" s="139"/>
      <c r="K1029" s="140"/>
      <c r="L1029" s="53">
        <f>AVERAGE(L1030:L1031)</f>
        <v>120.075</v>
      </c>
      <c r="Q1029" s="54">
        <v>0.39166666666666666</v>
      </c>
      <c r="R1029" s="54">
        <v>0.39861111111111108</v>
      </c>
      <c r="S1029" s="54">
        <v>0.4055555555555555</v>
      </c>
      <c r="T1029" s="54">
        <v>0.41250000000000003</v>
      </c>
      <c r="U1029" s="55"/>
      <c r="W1029" s="34" t="s">
        <v>68</v>
      </c>
      <c r="X1029" s="56" t="s">
        <v>69</v>
      </c>
      <c r="Y1029" s="57" t="s">
        <v>70</v>
      </c>
      <c r="Z1029" s="34" t="s">
        <v>68</v>
      </c>
    </row>
    <row r="1030" spans="2:26" x14ac:dyDescent="0.3">
      <c r="B1030" s="50">
        <v>15227.95</v>
      </c>
      <c r="C1030" s="40"/>
      <c r="D1030" s="58"/>
      <c r="E1030" s="59">
        <f>ROUND((((B1030*F1030%)/4)/10),0)*10</f>
        <v>60</v>
      </c>
      <c r="F1030" s="51">
        <f>(100/B1030)*(F1039-F1048)</f>
        <v>1.491993341191683</v>
      </c>
      <c r="H1030" s="60" t="s">
        <v>69</v>
      </c>
      <c r="I1030" s="61">
        <f>AVERAGE(C1047,C1036)</f>
        <v>94.125</v>
      </c>
      <c r="J1030" s="61">
        <f>AVERAGE(C1047,C1037)</f>
        <v>78.625</v>
      </c>
      <c r="K1030" s="61">
        <f>AVERAGE(C1047,C1038)</f>
        <v>65.150000000000006</v>
      </c>
      <c r="L1030" s="61">
        <f>C1036</f>
        <v>123</v>
      </c>
      <c r="Q1030" s="51">
        <v>15271.15</v>
      </c>
      <c r="R1030" s="51">
        <v>15227.25</v>
      </c>
      <c r="S1030" s="51">
        <v>15235.85</v>
      </c>
      <c r="T1030" s="51">
        <v>15229</v>
      </c>
      <c r="U1030" s="62"/>
      <c r="W1030" s="63">
        <v>0.41597222222222219</v>
      </c>
      <c r="X1030" s="30">
        <v>65.05</v>
      </c>
      <c r="Y1030" s="30">
        <v>65.25</v>
      </c>
      <c r="Z1030" s="63">
        <v>0.41597222222222219</v>
      </c>
    </row>
    <row r="1031" spans="2:26" x14ac:dyDescent="0.3">
      <c r="B1031" s="40"/>
      <c r="C1031" s="50">
        <f>B1030-E1030</f>
        <v>15167.95</v>
      </c>
      <c r="D1031" s="51">
        <f>C1031-E1030</f>
        <v>15107.95</v>
      </c>
      <c r="E1031" s="21"/>
      <c r="F1031" s="21"/>
      <c r="H1031" s="60" t="s">
        <v>70</v>
      </c>
      <c r="I1031" s="61">
        <f>AVERAGE(C1038,C1045)</f>
        <v>91.1</v>
      </c>
      <c r="J1031" s="61">
        <f>AVERAGE(C1038,C1046)</f>
        <v>76.75</v>
      </c>
      <c r="K1031" s="61">
        <f>AVERAGE(C1038,C1047)</f>
        <v>65.150000000000006</v>
      </c>
      <c r="L1031" s="61">
        <f>C1045</f>
        <v>117.15</v>
      </c>
      <c r="W1031" s="63">
        <v>0.4368055555555555</v>
      </c>
      <c r="X1031" s="30">
        <v>65</v>
      </c>
      <c r="Y1031" s="30">
        <v>58</v>
      </c>
      <c r="Z1031" s="63">
        <v>0.4368055555555555</v>
      </c>
    </row>
    <row r="1032" spans="2:26" x14ac:dyDescent="0.3">
      <c r="F1032" s="40"/>
      <c r="G1032" s="40"/>
      <c r="K1032" s="40"/>
      <c r="R1032">
        <f>ROUND((29000/F1043)/75,0)*75</f>
        <v>525</v>
      </c>
      <c r="W1032" s="63">
        <v>0.45763888888888887</v>
      </c>
      <c r="X1032" s="30">
        <v>80.95</v>
      </c>
      <c r="Y1032" s="30">
        <v>43.75</v>
      </c>
      <c r="Z1032" s="63">
        <v>0.45763888888888887</v>
      </c>
    </row>
    <row r="1033" spans="2:26" x14ac:dyDescent="0.3">
      <c r="B1033" s="40"/>
      <c r="P1033" s="40"/>
      <c r="W1033" s="63">
        <v>0.47847222222222219</v>
      </c>
      <c r="X1033" s="30">
        <v>91.05</v>
      </c>
      <c r="Y1033" s="30">
        <v>37.549999999999997</v>
      </c>
      <c r="Z1033" s="63">
        <v>0.47847222222222219</v>
      </c>
    </row>
    <row r="1034" spans="2:26" x14ac:dyDescent="0.3">
      <c r="C1034" s="64">
        <v>44244</v>
      </c>
      <c r="F1034" s="30">
        <f>AVERAGE(F1036,F1045)</f>
        <v>15239.75</v>
      </c>
      <c r="G1034" s="65"/>
      <c r="H1034" s="66">
        <v>0.46180555555555558</v>
      </c>
      <c r="I1034" s="66">
        <v>0.53541666666666665</v>
      </c>
      <c r="J1034" s="66">
        <v>6.6666666666666666E-2</v>
      </c>
      <c r="K1034" s="66">
        <v>7.1527777777777787E-2</v>
      </c>
      <c r="L1034" s="66">
        <v>8.3333333333333329E-2</v>
      </c>
      <c r="M1034" s="66">
        <v>0.13541666666666666</v>
      </c>
      <c r="P1034" s="40"/>
      <c r="Q1034" s="132" t="s">
        <v>71</v>
      </c>
      <c r="R1034" s="132"/>
      <c r="S1034" s="132" t="s">
        <v>37</v>
      </c>
      <c r="T1034" s="132"/>
      <c r="U1034" s="69"/>
      <c r="W1034" s="63">
        <v>0.4993055555555555</v>
      </c>
      <c r="X1034" s="30">
        <v>89.25</v>
      </c>
      <c r="Y1034" s="30">
        <v>35.25</v>
      </c>
      <c r="Z1034" s="63">
        <v>0.4993055555555555</v>
      </c>
    </row>
    <row r="1035" spans="2:26" x14ac:dyDescent="0.3">
      <c r="B1035" s="34" t="s">
        <v>68</v>
      </c>
      <c r="C1035" s="63">
        <v>0.41666666666666669</v>
      </c>
      <c r="D1035" s="63">
        <v>0.39999999999999997</v>
      </c>
      <c r="H1035" s="23">
        <v>65.150000000000006</v>
      </c>
      <c r="I1035" s="23">
        <v>52.6</v>
      </c>
      <c r="J1035" s="7">
        <v>15175.5</v>
      </c>
      <c r="K1035" s="7">
        <v>15188</v>
      </c>
      <c r="L1035" s="7">
        <v>15218</v>
      </c>
      <c r="M1035" s="7">
        <v>15216.2</v>
      </c>
      <c r="Q1035" s="61">
        <f>R1035-(S1035-R1035)</f>
        <v>0</v>
      </c>
      <c r="R1035" s="61"/>
      <c r="S1035" s="61"/>
      <c r="T1035" s="61">
        <f>S1035+(S1035-R1035)</f>
        <v>0</v>
      </c>
      <c r="U1035" s="71"/>
      <c r="W1035" s="63">
        <v>0.52013888888888882</v>
      </c>
      <c r="X1035" s="30">
        <v>96.5</v>
      </c>
      <c r="Y1035" s="30">
        <v>31.45</v>
      </c>
      <c r="Z1035" s="63">
        <v>0.52013888888888882</v>
      </c>
    </row>
    <row r="1036" spans="2:26" x14ac:dyDescent="0.3">
      <c r="B1036" s="26">
        <f>B1037-50</f>
        <v>15150</v>
      </c>
      <c r="C1036" s="30">
        <v>123</v>
      </c>
      <c r="D1036" s="30">
        <v>118.55</v>
      </c>
      <c r="E1036" s="40"/>
      <c r="F1036" s="30">
        <f t="shared" ref="F1036:F1041" si="62">B1036+D1036</f>
        <v>15268.55</v>
      </c>
      <c r="H1036" s="7">
        <v>169.3</v>
      </c>
      <c r="I1036" s="7">
        <v>149.44999999999999</v>
      </c>
      <c r="J1036" s="7">
        <v>93</v>
      </c>
      <c r="K1036" s="7">
        <v>95.45</v>
      </c>
      <c r="L1036" s="7">
        <v>112.85</v>
      </c>
      <c r="M1036" s="7">
        <v>101</v>
      </c>
      <c r="R1036" s="40"/>
      <c r="S1036" s="40"/>
      <c r="T1036" s="40">
        <v>15227.95</v>
      </c>
      <c r="U1036" s="40"/>
      <c r="W1036" s="63">
        <v>0.54097222222222219</v>
      </c>
      <c r="X1036" s="30">
        <v>67.75</v>
      </c>
      <c r="Y1036" s="30">
        <v>45.7</v>
      </c>
      <c r="Z1036" s="63">
        <v>0.54097222222222219</v>
      </c>
    </row>
    <row r="1037" spans="2:26" x14ac:dyDescent="0.3">
      <c r="B1037" s="26">
        <f>B1038-50</f>
        <v>15200</v>
      </c>
      <c r="C1037" s="30">
        <v>92</v>
      </c>
      <c r="D1037" s="30">
        <v>89.15</v>
      </c>
      <c r="E1037" s="40"/>
      <c r="F1037" s="30">
        <f t="shared" si="62"/>
        <v>15289.15</v>
      </c>
      <c r="H1037" s="7">
        <v>129.15</v>
      </c>
      <c r="I1037" s="7">
        <v>112.4</v>
      </c>
      <c r="J1037" s="7">
        <v>67.3</v>
      </c>
      <c r="K1037" s="7">
        <v>68.75</v>
      </c>
      <c r="L1037" s="7">
        <v>81.45</v>
      </c>
      <c r="M1037" s="7">
        <v>68.650000000000006</v>
      </c>
      <c r="T1037" s="40">
        <v>15287.95</v>
      </c>
      <c r="U1037" s="40"/>
      <c r="W1037" s="63">
        <v>6.1805555555555558E-2</v>
      </c>
      <c r="X1037" s="30">
        <v>53.05</v>
      </c>
      <c r="Y1037" s="30">
        <v>57.5</v>
      </c>
      <c r="Z1037" s="63">
        <v>6.1805555555555558E-2</v>
      </c>
    </row>
    <row r="1038" spans="2:26" x14ac:dyDescent="0.3">
      <c r="B1038" s="79">
        <v>15250</v>
      </c>
      <c r="C1038" s="30">
        <v>65.05</v>
      </c>
      <c r="D1038" s="7">
        <v>63.15</v>
      </c>
      <c r="E1038" s="40"/>
      <c r="F1038" s="30">
        <f t="shared" si="62"/>
        <v>15313.15</v>
      </c>
      <c r="H1038" s="7">
        <v>94.5</v>
      </c>
      <c r="I1038" s="7">
        <v>80</v>
      </c>
      <c r="J1038" s="7">
        <v>46.85</v>
      </c>
      <c r="K1038" s="7">
        <v>47.35</v>
      </c>
      <c r="L1038" s="7">
        <v>55.55</v>
      </c>
      <c r="M1038" s="7">
        <v>42.75</v>
      </c>
      <c r="T1038" s="40">
        <v>15227.95</v>
      </c>
      <c r="U1038" s="40"/>
      <c r="W1038" s="63">
        <v>8.2638888888888887E-2</v>
      </c>
      <c r="X1038" s="30">
        <v>55.55</v>
      </c>
      <c r="Y1038" s="30">
        <v>53.3</v>
      </c>
      <c r="Z1038" s="63">
        <v>8.2638888888888887E-2</v>
      </c>
    </row>
    <row r="1039" spans="2:26" x14ac:dyDescent="0.3">
      <c r="B1039" s="26">
        <f>B1038+50</f>
        <v>15300</v>
      </c>
      <c r="C1039" s="51">
        <v>44</v>
      </c>
      <c r="D1039" s="23">
        <v>42.65</v>
      </c>
      <c r="E1039" s="40"/>
      <c r="F1039" s="50">
        <f t="shared" si="62"/>
        <v>15342.65</v>
      </c>
      <c r="H1039" s="7">
        <v>64.849999999999994</v>
      </c>
      <c r="I1039" s="7">
        <v>53</v>
      </c>
      <c r="J1039" s="7">
        <v>30.6</v>
      </c>
      <c r="K1039" s="7">
        <v>30.85</v>
      </c>
      <c r="L1039" s="7">
        <v>35.950000000000003</v>
      </c>
      <c r="M1039" s="7">
        <v>24.5</v>
      </c>
      <c r="T1039" s="40">
        <v>15167.95</v>
      </c>
      <c r="U1039" s="40"/>
    </row>
    <row r="1040" spans="2:26" x14ac:dyDescent="0.3">
      <c r="B1040" s="72">
        <f>B1039+50</f>
        <v>15350</v>
      </c>
      <c r="C1040" s="30">
        <v>28.8</v>
      </c>
      <c r="D1040" s="30">
        <v>27.25</v>
      </c>
      <c r="E1040" s="40"/>
      <c r="F1040" s="30">
        <f t="shared" si="62"/>
        <v>15377.25</v>
      </c>
      <c r="H1040" s="7">
        <v>42.55</v>
      </c>
      <c r="I1040" s="7">
        <v>34</v>
      </c>
      <c r="J1040" s="7">
        <v>19.899999999999999</v>
      </c>
      <c r="K1040" s="7">
        <v>19.899999999999999</v>
      </c>
      <c r="L1040" s="7">
        <v>22.75</v>
      </c>
      <c r="M1040" s="7">
        <v>13.7</v>
      </c>
      <c r="Q1040" s="133" t="s">
        <v>72</v>
      </c>
      <c r="R1040" s="134"/>
      <c r="S1040" s="135"/>
      <c r="W1040" s="34" t="s">
        <v>68</v>
      </c>
      <c r="X1040" s="56" t="s">
        <v>69</v>
      </c>
      <c r="Y1040" s="57" t="s">
        <v>70</v>
      </c>
      <c r="Z1040" s="34" t="s">
        <v>68</v>
      </c>
    </row>
    <row r="1041" spans="2:26" x14ac:dyDescent="0.3">
      <c r="B1041" s="26">
        <f>B1040+50</f>
        <v>15400</v>
      </c>
      <c r="C1041" s="30">
        <v>18.25</v>
      </c>
      <c r="D1041" s="30">
        <v>17.05</v>
      </c>
      <c r="E1041" s="40"/>
      <c r="F1041" s="30">
        <f t="shared" si="62"/>
        <v>15417.05</v>
      </c>
      <c r="H1041" s="7">
        <v>26.75</v>
      </c>
      <c r="I1041" s="7">
        <v>20.85</v>
      </c>
      <c r="J1041" s="7">
        <v>12.9</v>
      </c>
      <c r="K1041" s="7">
        <v>12.8</v>
      </c>
      <c r="L1041" s="7">
        <v>14.35</v>
      </c>
      <c r="M1041" s="7">
        <v>8.25</v>
      </c>
      <c r="Q1041" s="30">
        <v>64.849999999999994</v>
      </c>
      <c r="R1041" s="73">
        <v>75</v>
      </c>
      <c r="S1041" s="30">
        <f>R1041*Q1041</f>
        <v>4863.75</v>
      </c>
      <c r="W1041" s="63">
        <v>0.41597222222222219</v>
      </c>
      <c r="X1041" s="30">
        <v>44</v>
      </c>
      <c r="Y1041" s="30">
        <v>46.6</v>
      </c>
      <c r="Z1041" s="63">
        <v>0.41597222222222219</v>
      </c>
    </row>
    <row r="1042" spans="2:26" x14ac:dyDescent="0.3">
      <c r="D1042" s="40"/>
      <c r="E1042" s="40">
        <f>F1042-(G1042-F1042)</f>
        <v>40.075000000000017</v>
      </c>
      <c r="F1042" s="40">
        <f>AVERAGE(C1038,C1047)</f>
        <v>65.150000000000006</v>
      </c>
      <c r="G1042" s="40">
        <f>AVERAGE(C1037,C1046)</f>
        <v>90.224999999999994</v>
      </c>
      <c r="H1042" s="17"/>
      <c r="I1042" s="17"/>
      <c r="J1042" s="17"/>
      <c r="K1042" s="76"/>
      <c r="L1042" s="17"/>
      <c r="M1042" s="17"/>
      <c r="Q1042" s="30">
        <v>64.849999999999994</v>
      </c>
      <c r="R1042" s="73">
        <v>75</v>
      </c>
      <c r="S1042" s="30">
        <f>R1042*Q1042</f>
        <v>4863.75</v>
      </c>
      <c r="W1042" s="63">
        <v>0.4368055555555555</v>
      </c>
      <c r="X1042" s="30">
        <v>43.55</v>
      </c>
      <c r="Y1042" s="30">
        <v>40.049999999999997</v>
      </c>
      <c r="Z1042" s="63">
        <v>0.4368055555555555</v>
      </c>
    </row>
    <row r="1043" spans="2:26" x14ac:dyDescent="0.3">
      <c r="C1043" s="64">
        <v>44245</v>
      </c>
      <c r="E1043" s="40"/>
      <c r="F1043" s="40">
        <f>AVERAGE(E1042,F1042)</f>
        <v>52.612500000000011</v>
      </c>
      <c r="G1043" s="40"/>
      <c r="H1043" s="66">
        <v>0.46180555555555558</v>
      </c>
      <c r="I1043" s="66">
        <v>0.53541666666666665</v>
      </c>
      <c r="J1043" s="66">
        <v>6.6666666666666666E-2</v>
      </c>
      <c r="K1043" s="66">
        <v>7.1527777777777787E-2</v>
      </c>
      <c r="L1043" s="66">
        <v>8.3333333333333329E-2</v>
      </c>
      <c r="M1043" s="66">
        <v>0.13541666666666666</v>
      </c>
      <c r="Q1043" s="30"/>
      <c r="R1043" s="73"/>
      <c r="S1043" s="30">
        <f>R1043*Q1043</f>
        <v>0</v>
      </c>
      <c r="W1043" s="63">
        <v>0.45763888888888887</v>
      </c>
      <c r="X1043" s="30">
        <v>54.9</v>
      </c>
      <c r="Y1043" s="30">
        <v>30.1</v>
      </c>
      <c r="Z1043" s="63">
        <v>0.45763888888888887</v>
      </c>
    </row>
    <row r="1044" spans="2:26" x14ac:dyDescent="0.3">
      <c r="B1044" s="34" t="s">
        <v>68</v>
      </c>
      <c r="C1044" s="63">
        <v>0.41666666666666669</v>
      </c>
      <c r="D1044" s="63">
        <v>0.39305555555555555</v>
      </c>
      <c r="E1044" s="40">
        <f>F1044-(G1044-F1044)</f>
        <v>40.075000000000017</v>
      </c>
      <c r="F1044" s="40">
        <f>AVERAGE(C1047,C1038)</f>
        <v>65.150000000000006</v>
      </c>
      <c r="G1044" s="40">
        <f>AVERAGE(C1046,C1037)</f>
        <v>90.224999999999994</v>
      </c>
      <c r="H1044" s="7">
        <v>15293.25</v>
      </c>
      <c r="I1044" s="7">
        <v>15275</v>
      </c>
      <c r="J1044" s="23">
        <v>65.150000000000006</v>
      </c>
      <c r="K1044" s="23">
        <v>52.6</v>
      </c>
      <c r="L1044" s="7">
        <v>15218</v>
      </c>
      <c r="M1044" s="7"/>
      <c r="Q1044" s="30">
        <f>S1044/R1044</f>
        <v>64.849999999999994</v>
      </c>
      <c r="R1044" s="73">
        <f>SUM(R1041:R1043)</f>
        <v>150</v>
      </c>
      <c r="S1044" s="30">
        <f>SUM(S1041:S1043)</f>
        <v>9727.5</v>
      </c>
      <c r="V1044" s="40"/>
      <c r="W1044" s="63">
        <v>0.47847222222222219</v>
      </c>
      <c r="X1044" s="30">
        <v>62.3</v>
      </c>
      <c r="Y1044" s="30">
        <v>26.3</v>
      </c>
      <c r="Z1044" s="63">
        <v>0.47847222222222219</v>
      </c>
    </row>
    <row r="1045" spans="2:26" x14ac:dyDescent="0.3">
      <c r="B1045" s="26">
        <f>B1046+50</f>
        <v>15300</v>
      </c>
      <c r="C1045" s="30">
        <v>117.15</v>
      </c>
      <c r="D1045" s="30">
        <v>89.05</v>
      </c>
      <c r="E1045" s="40"/>
      <c r="F1045" s="30">
        <f t="shared" ref="F1045:F1050" si="63">B1045-D1045</f>
        <v>15210.95</v>
      </c>
      <c r="H1045" s="7">
        <v>72.650000000000006</v>
      </c>
      <c r="I1045" s="7">
        <v>79.8</v>
      </c>
      <c r="J1045" s="7">
        <v>151.9</v>
      </c>
      <c r="K1045" s="7">
        <v>139.35</v>
      </c>
      <c r="L1045" s="7">
        <v>107.95</v>
      </c>
      <c r="M1045" s="7">
        <v>108.35</v>
      </c>
      <c r="P1045" s="50">
        <f>S1050</f>
        <v>-3397.5</v>
      </c>
      <c r="Q1045" s="57" t="s">
        <v>72</v>
      </c>
      <c r="S1045" s="57" t="s">
        <v>73</v>
      </c>
      <c r="T1045" s="23">
        <f>((X1042+Y1042)-(X1050+Y1050))</f>
        <v>-1.1500000000000057</v>
      </c>
      <c r="U1045" s="23"/>
      <c r="V1045" s="50">
        <f>T1045*225</f>
        <v>-258.75000000000125</v>
      </c>
      <c r="W1045" s="63">
        <v>0.4993055555555555</v>
      </c>
      <c r="X1045" s="30">
        <v>60.6</v>
      </c>
      <c r="Y1045" s="30">
        <v>24.45</v>
      </c>
      <c r="Z1045" s="63">
        <v>0.4993055555555555</v>
      </c>
    </row>
    <row r="1046" spans="2:26" x14ac:dyDescent="0.3">
      <c r="B1046" s="26">
        <f>B1047+50</f>
        <v>15250</v>
      </c>
      <c r="C1046" s="30">
        <v>88.45</v>
      </c>
      <c r="D1046" s="30">
        <v>65.3</v>
      </c>
      <c r="E1046" s="40"/>
      <c r="F1046" s="30">
        <f t="shared" si="63"/>
        <v>15184.7</v>
      </c>
      <c r="H1046" s="7">
        <v>52.4</v>
      </c>
      <c r="I1046" s="7">
        <v>56.35</v>
      </c>
      <c r="J1046" s="7">
        <v>118.75</v>
      </c>
      <c r="K1046" s="7">
        <v>105.75</v>
      </c>
      <c r="L1046" s="7">
        <v>77.2</v>
      </c>
      <c r="M1046" s="7">
        <v>77.2</v>
      </c>
      <c r="Q1046" s="30">
        <v>42.2</v>
      </c>
      <c r="R1046" s="73">
        <v>75</v>
      </c>
      <c r="S1046" s="30">
        <f>R1046*Q1046</f>
        <v>3165</v>
      </c>
      <c r="W1046" s="63">
        <v>0.52013888888888882</v>
      </c>
      <c r="X1046" s="30">
        <v>65.900000000000006</v>
      </c>
      <c r="Y1046" s="30">
        <v>21.35</v>
      </c>
      <c r="Z1046" s="63">
        <v>0.52013888888888882</v>
      </c>
    </row>
    <row r="1047" spans="2:26" x14ac:dyDescent="0.3">
      <c r="B1047" s="79">
        <v>15200</v>
      </c>
      <c r="C1047" s="30">
        <v>65.25</v>
      </c>
      <c r="D1047" s="7">
        <v>47.95</v>
      </c>
      <c r="E1047" s="40"/>
      <c r="F1047" s="30">
        <f t="shared" si="63"/>
        <v>15152.05</v>
      </c>
      <c r="H1047" s="7">
        <v>37.049999999999997</v>
      </c>
      <c r="I1047" s="7">
        <v>38.5</v>
      </c>
      <c r="J1047" s="7">
        <v>88.9</v>
      </c>
      <c r="K1047" s="7">
        <v>76.95</v>
      </c>
      <c r="L1047" s="7">
        <v>53.3</v>
      </c>
      <c r="M1047" s="7">
        <v>52.55</v>
      </c>
      <c r="Q1047" s="30">
        <v>42.2</v>
      </c>
      <c r="R1047" s="73">
        <v>75</v>
      </c>
      <c r="S1047" s="30">
        <f>R1047*Q1047</f>
        <v>3165</v>
      </c>
      <c r="T1047" s="40"/>
      <c r="U1047" s="40"/>
      <c r="V1047" s="40"/>
      <c r="W1047" s="63">
        <v>0.54097222222222219</v>
      </c>
      <c r="X1047" s="30">
        <v>43.5</v>
      </c>
      <c r="Y1047" s="30">
        <v>30.3</v>
      </c>
      <c r="Z1047" s="63">
        <v>0.54097222222222219</v>
      </c>
    </row>
    <row r="1048" spans="2:26" x14ac:dyDescent="0.3">
      <c r="B1048" s="73">
        <f>B1047-50</f>
        <v>15150</v>
      </c>
      <c r="C1048" s="51">
        <v>46.6</v>
      </c>
      <c r="D1048" s="23">
        <v>34.549999999999997</v>
      </c>
      <c r="E1048" s="40"/>
      <c r="F1048" s="50">
        <f t="shared" si="63"/>
        <v>15115.45</v>
      </c>
      <c r="H1048" s="7">
        <v>26.5</v>
      </c>
      <c r="I1048" s="7">
        <v>25.95</v>
      </c>
      <c r="J1048" s="7">
        <v>64.400000000000006</v>
      </c>
      <c r="K1048" s="7">
        <v>54.15</v>
      </c>
      <c r="L1048" s="7">
        <v>35.200000000000003</v>
      </c>
      <c r="M1048" s="7">
        <v>34.65</v>
      </c>
      <c r="Q1048" s="30"/>
      <c r="R1048" s="73"/>
      <c r="S1048" s="30">
        <f>R1048*Q1048</f>
        <v>0</v>
      </c>
      <c r="T1048" s="40"/>
      <c r="U1048" s="40"/>
      <c r="V1048" s="40"/>
      <c r="W1048" s="63">
        <v>6.1805555555555558E-2</v>
      </c>
      <c r="X1048" s="30">
        <v>34.200000000000003</v>
      </c>
      <c r="Y1048" s="30">
        <v>38.85</v>
      </c>
      <c r="Z1048" s="63">
        <v>6.1805555555555558E-2</v>
      </c>
    </row>
    <row r="1049" spans="2:26" x14ac:dyDescent="0.3">
      <c r="B1049" s="72">
        <f>B1048-50</f>
        <v>15100</v>
      </c>
      <c r="C1049" s="30">
        <v>32.9</v>
      </c>
      <c r="D1049" s="7">
        <v>24.7</v>
      </c>
      <c r="E1049" s="40"/>
      <c r="F1049" s="30">
        <f t="shared" si="63"/>
        <v>15075.3</v>
      </c>
      <c r="H1049" s="7">
        <v>19.600000000000001</v>
      </c>
      <c r="I1049" s="7">
        <v>18.149999999999999</v>
      </c>
      <c r="J1049" s="7">
        <v>45.7</v>
      </c>
      <c r="K1049" s="7">
        <v>37</v>
      </c>
      <c r="L1049" s="7">
        <v>22.8</v>
      </c>
      <c r="M1049" s="7">
        <v>22.5</v>
      </c>
      <c r="Q1049" s="30">
        <f>S1049/R1049</f>
        <v>42.2</v>
      </c>
      <c r="R1049" s="73">
        <f>SUM(R1046:R1048)</f>
        <v>150</v>
      </c>
      <c r="S1049" s="30">
        <f>SUM(S1046:S1048)</f>
        <v>6330</v>
      </c>
      <c r="W1049" s="63">
        <v>8.2638888888888887E-2</v>
      </c>
      <c r="X1049" s="30">
        <v>35.950000000000003</v>
      </c>
      <c r="Y1049" s="30">
        <v>35.200000000000003</v>
      </c>
      <c r="Z1049" s="63">
        <v>8.2638888888888887E-2</v>
      </c>
    </row>
    <row r="1050" spans="2:26" x14ac:dyDescent="0.3">
      <c r="B1050" s="26">
        <f>B1049-50</f>
        <v>15050</v>
      </c>
      <c r="C1050" s="30">
        <v>23.1</v>
      </c>
      <c r="D1050" s="30">
        <v>18.399999999999999</v>
      </c>
      <c r="E1050" s="40"/>
      <c r="F1050" s="30">
        <f t="shared" si="63"/>
        <v>15031.6</v>
      </c>
      <c r="H1050" s="7">
        <v>14.65</v>
      </c>
      <c r="I1050" s="7">
        <v>12.8</v>
      </c>
      <c r="J1050" s="7">
        <v>31.4</v>
      </c>
      <c r="K1050" s="7">
        <v>24.7</v>
      </c>
      <c r="L1050" s="7">
        <v>14.65</v>
      </c>
      <c r="M1050" s="7">
        <v>14.25</v>
      </c>
      <c r="Q1050" s="136" t="e">
        <f>S1050/(R1044-R1049)</f>
        <v>#DIV/0!</v>
      </c>
      <c r="R1050" s="137"/>
      <c r="S1050" s="30">
        <f>S1049-S1044</f>
        <v>-3397.5</v>
      </c>
      <c r="W1050" s="63">
        <v>0.46180555555555558</v>
      </c>
      <c r="X1050" s="23">
        <v>65.150000000000006</v>
      </c>
      <c r="Y1050" s="30">
        <v>19.600000000000001</v>
      </c>
      <c r="Z1050" s="63">
        <v>0.52152777777777781</v>
      </c>
    </row>
    <row r="1062" spans="2:26" x14ac:dyDescent="0.3">
      <c r="B1062" s="40"/>
      <c r="C1062" s="50">
        <f>B1063+E1063</f>
        <v>15333.9</v>
      </c>
      <c r="D1062" s="51">
        <f>C1062+E1063</f>
        <v>15443.9</v>
      </c>
      <c r="E1062" s="21"/>
      <c r="F1062" s="21"/>
      <c r="H1062" s="52" t="str">
        <f>IF((C1071-D1071)&gt;(C1080-D1080),"LONG",IF(C1080&gt;D1078,"LONG","SHORT"))</f>
        <v>LONG</v>
      </c>
      <c r="I1062" s="138" t="s">
        <v>104</v>
      </c>
      <c r="J1062" s="139"/>
      <c r="K1062" s="140"/>
      <c r="L1062" s="53">
        <f>AVERAGE(L1063:L1064)</f>
        <v>160.5</v>
      </c>
      <c r="Q1062" s="54">
        <v>0.39166666666666666</v>
      </c>
      <c r="R1062" s="54">
        <v>0.39861111111111108</v>
      </c>
      <c r="S1062" s="54">
        <v>0.4055555555555555</v>
      </c>
      <c r="T1062" s="54">
        <v>0.41250000000000003</v>
      </c>
      <c r="U1062" s="55"/>
      <c r="W1062" s="34" t="s">
        <v>68</v>
      </c>
      <c r="X1062" s="56" t="s">
        <v>69</v>
      </c>
      <c r="Y1062" s="57" t="s">
        <v>70</v>
      </c>
      <c r="Z1062" s="34" t="s">
        <v>68</v>
      </c>
    </row>
    <row r="1063" spans="2:26" x14ac:dyDescent="0.3">
      <c r="B1063" s="50">
        <v>15223.9</v>
      </c>
      <c r="C1063" s="40"/>
      <c r="D1063" s="58"/>
      <c r="E1063" s="59">
        <f>ROUND((((B1063*F1063%)/4)/10),0)*10</f>
        <v>110</v>
      </c>
      <c r="F1063" s="51">
        <f>(100/B1063)*(F1072-F1081)</f>
        <v>2.8402708898508244</v>
      </c>
      <c r="H1063" s="60" t="s">
        <v>69</v>
      </c>
      <c r="I1063" s="61">
        <f>AVERAGE(C1080,C1069)</f>
        <v>139.82499999999999</v>
      </c>
      <c r="J1063" s="61">
        <f>AVERAGE(C1080,C1070)</f>
        <v>126</v>
      </c>
      <c r="K1063" s="61">
        <f>AVERAGE(C1080,C1071)</f>
        <v>113.875</v>
      </c>
      <c r="L1063" s="61">
        <f>C1069</f>
        <v>160</v>
      </c>
      <c r="Q1063" s="51">
        <v>15235.5</v>
      </c>
      <c r="R1063" s="51">
        <v>15210.5</v>
      </c>
      <c r="S1063" s="51">
        <v>15214</v>
      </c>
      <c r="T1063" s="51">
        <v>15207</v>
      </c>
      <c r="U1063" s="62"/>
      <c r="W1063" s="63">
        <v>0.41597222222222219</v>
      </c>
      <c r="X1063" s="30">
        <v>108.1</v>
      </c>
      <c r="Y1063" s="30">
        <v>119.65</v>
      </c>
      <c r="Z1063" s="63">
        <v>0.41597222222222219</v>
      </c>
    </row>
    <row r="1064" spans="2:26" x14ac:dyDescent="0.3">
      <c r="B1064" s="40"/>
      <c r="C1064" s="50">
        <f>B1063-E1063</f>
        <v>15113.9</v>
      </c>
      <c r="D1064" s="51">
        <f>C1064-E1063</f>
        <v>15003.9</v>
      </c>
      <c r="E1064" s="21"/>
      <c r="F1064" s="21"/>
      <c r="H1064" s="60" t="s">
        <v>70</v>
      </c>
      <c r="I1064" s="61">
        <f>AVERAGE(C1071,C1078)</f>
        <v>134.55000000000001</v>
      </c>
      <c r="J1064" s="61">
        <f>AVERAGE(C1071,C1079)</f>
        <v>123</v>
      </c>
      <c r="K1064" s="61">
        <f>AVERAGE(C1071,C1080)</f>
        <v>113.875</v>
      </c>
      <c r="L1064" s="61">
        <f>C1078</f>
        <v>161</v>
      </c>
      <c r="W1064" s="63">
        <v>0.4368055555555555</v>
      </c>
      <c r="X1064" s="30">
        <v>113.4</v>
      </c>
      <c r="Y1064" s="30">
        <v>109.75</v>
      </c>
      <c r="Z1064" s="63">
        <v>0.4368055555555555</v>
      </c>
    </row>
    <row r="1065" spans="2:26" x14ac:dyDescent="0.3">
      <c r="F1065" s="40"/>
      <c r="G1065" s="40"/>
      <c r="K1065" s="40"/>
      <c r="R1065">
        <f>ROUND((26000/F1076)/150,0)*75</f>
        <v>150</v>
      </c>
      <c r="W1065" s="63">
        <v>0.45763888888888887</v>
      </c>
      <c r="X1065" s="30">
        <v>110.6</v>
      </c>
      <c r="Y1065" s="30">
        <v>113.75</v>
      </c>
      <c r="Z1065" s="63">
        <v>0.45763888888888887</v>
      </c>
    </row>
    <row r="1066" spans="2:26" x14ac:dyDescent="0.3">
      <c r="B1066" s="40"/>
      <c r="P1066" s="40"/>
      <c r="W1066" s="63">
        <v>0.47847222222222219</v>
      </c>
      <c r="X1066" s="30">
        <v>91.7</v>
      </c>
      <c r="Y1066" s="30">
        <v>132.35</v>
      </c>
      <c r="Z1066" s="63">
        <v>0.47847222222222219</v>
      </c>
    </row>
    <row r="1067" spans="2:26" x14ac:dyDescent="0.3">
      <c r="C1067" s="64">
        <v>44245</v>
      </c>
      <c r="F1067" s="30">
        <f>AVERAGE(F1069,F1078)</f>
        <v>15222.55</v>
      </c>
      <c r="G1067" s="65"/>
      <c r="H1067" s="66">
        <v>0.4826388888888889</v>
      </c>
      <c r="I1067" s="66">
        <v>0.51250000000000007</v>
      </c>
      <c r="J1067" s="66">
        <v>6.25E-2</v>
      </c>
      <c r="K1067" s="66"/>
      <c r="L1067" s="66">
        <v>8.3333333333333329E-2</v>
      </c>
      <c r="M1067" s="66">
        <v>0.13541666666666666</v>
      </c>
      <c r="P1067" s="40"/>
      <c r="Q1067" s="132" t="s">
        <v>71</v>
      </c>
      <c r="R1067" s="132"/>
      <c r="S1067" s="132" t="s">
        <v>37</v>
      </c>
      <c r="T1067" s="132"/>
      <c r="U1067" s="69"/>
      <c r="W1067" s="63">
        <v>0.4993055555555555</v>
      </c>
      <c r="X1067" s="30">
        <v>79.400000000000006</v>
      </c>
      <c r="Y1067" s="30">
        <v>142.4</v>
      </c>
      <c r="Z1067" s="63">
        <v>0.4993055555555555</v>
      </c>
    </row>
    <row r="1068" spans="2:26" x14ac:dyDescent="0.3">
      <c r="B1068" s="34" t="s">
        <v>68</v>
      </c>
      <c r="C1068" s="63">
        <v>0.41666666666666669</v>
      </c>
      <c r="D1068" s="63">
        <v>0.41388888888888892</v>
      </c>
      <c r="H1068" s="7">
        <v>15166.85</v>
      </c>
      <c r="I1068" s="7">
        <v>15111</v>
      </c>
      <c r="J1068" s="7">
        <v>15079.5</v>
      </c>
      <c r="K1068" s="7"/>
      <c r="L1068" s="7">
        <v>15074.75</v>
      </c>
      <c r="M1068" s="7">
        <v>15114.7</v>
      </c>
      <c r="Q1068" s="61">
        <f>R1068-(S1068-R1068)</f>
        <v>14856.8</v>
      </c>
      <c r="R1068" s="61">
        <v>15123.3</v>
      </c>
      <c r="S1068" s="61">
        <v>15389.8</v>
      </c>
      <c r="T1068" s="61">
        <f>S1068+(S1068-R1068)</f>
        <v>15656.3</v>
      </c>
      <c r="U1068" s="71"/>
      <c r="W1068" s="63">
        <v>0.52013888888888882</v>
      </c>
      <c r="X1068" s="30">
        <v>67.05</v>
      </c>
      <c r="Y1068" s="30">
        <v>172.35</v>
      </c>
      <c r="Z1068" s="63">
        <v>0.52013888888888882</v>
      </c>
    </row>
    <row r="1069" spans="2:26" x14ac:dyDescent="0.3">
      <c r="B1069" s="26">
        <f>B1070-50</f>
        <v>15200</v>
      </c>
      <c r="C1069" s="30">
        <v>160</v>
      </c>
      <c r="D1069" s="30">
        <v>152.05000000000001</v>
      </c>
      <c r="E1069" s="40"/>
      <c r="F1069" s="30">
        <f t="shared" ref="F1069:F1074" si="64">B1069+D1069</f>
        <v>15352.05</v>
      </c>
      <c r="H1069" s="7">
        <v>129.30000000000001</v>
      </c>
      <c r="I1069" s="7">
        <v>106.9</v>
      </c>
      <c r="J1069" s="7">
        <v>97.15</v>
      </c>
      <c r="K1069" s="7"/>
      <c r="L1069" s="7">
        <v>94.4</v>
      </c>
      <c r="M1069" s="7">
        <v>100.05</v>
      </c>
      <c r="R1069" s="40"/>
      <c r="S1069" s="40"/>
      <c r="T1069" s="40">
        <f>B1063</f>
        <v>15223.9</v>
      </c>
      <c r="U1069" s="40"/>
      <c r="W1069" s="63">
        <v>0.54097222222222219</v>
      </c>
      <c r="X1069" s="30">
        <v>72.05</v>
      </c>
      <c r="Y1069" s="30">
        <v>161.75</v>
      </c>
      <c r="Z1069" s="63">
        <v>0.54097222222222219</v>
      </c>
    </row>
    <row r="1070" spans="2:26" x14ac:dyDescent="0.3">
      <c r="B1070" s="26">
        <f>B1071-50</f>
        <v>15250</v>
      </c>
      <c r="C1070" s="30">
        <v>132.35</v>
      </c>
      <c r="D1070" s="7">
        <v>126</v>
      </c>
      <c r="E1070" s="40"/>
      <c r="F1070" s="30">
        <f t="shared" si="64"/>
        <v>15376</v>
      </c>
      <c r="H1070" s="7">
        <v>104.75</v>
      </c>
      <c r="I1070" s="7">
        <v>86.3</v>
      </c>
      <c r="J1070" s="7">
        <v>78.05</v>
      </c>
      <c r="K1070" s="7"/>
      <c r="L1070" s="7">
        <v>75.5</v>
      </c>
      <c r="M1070" s="7">
        <v>80.849999999999994</v>
      </c>
      <c r="T1070" s="40">
        <f>C1064</f>
        <v>15113.9</v>
      </c>
      <c r="U1070" s="40"/>
      <c r="W1070" s="63">
        <v>6.1805555555555558E-2</v>
      </c>
      <c r="X1070" s="30">
        <v>62.5</v>
      </c>
      <c r="Y1070" s="30">
        <v>185.05</v>
      </c>
      <c r="Z1070" s="63">
        <v>6.1805555555555558E-2</v>
      </c>
    </row>
    <row r="1071" spans="2:26" x14ac:dyDescent="0.3">
      <c r="B1071" s="79">
        <v>15300</v>
      </c>
      <c r="C1071" s="30">
        <v>108.1</v>
      </c>
      <c r="D1071" s="7">
        <v>102.8</v>
      </c>
      <c r="E1071" s="40"/>
      <c r="F1071" s="30">
        <f t="shared" si="64"/>
        <v>15402.8</v>
      </c>
      <c r="H1071" s="7">
        <v>83.4</v>
      </c>
      <c r="I1071" s="7">
        <v>68.2</v>
      </c>
      <c r="J1071" s="7">
        <v>62.05</v>
      </c>
      <c r="K1071" s="7"/>
      <c r="L1071" s="7">
        <v>59.65</v>
      </c>
      <c r="M1071" s="7">
        <v>63.1</v>
      </c>
      <c r="Q1071" s="133" t="s">
        <v>72</v>
      </c>
      <c r="R1071" s="134"/>
      <c r="S1071" s="135"/>
      <c r="W1071" s="63">
        <v>8.2638888888888887E-2</v>
      </c>
      <c r="X1071" s="30">
        <v>59.65</v>
      </c>
      <c r="Y1071" s="30">
        <v>193.2</v>
      </c>
      <c r="Z1071" s="63">
        <v>8.2638888888888887E-2</v>
      </c>
    </row>
    <row r="1072" spans="2:26" x14ac:dyDescent="0.3">
      <c r="B1072" s="26">
        <f>B1071+50</f>
        <v>15350</v>
      </c>
      <c r="C1072" s="30">
        <v>87</v>
      </c>
      <c r="D1072" s="23">
        <v>82.5</v>
      </c>
      <c r="E1072" s="40"/>
      <c r="F1072" s="50">
        <f t="shared" si="64"/>
        <v>15432.5</v>
      </c>
      <c r="H1072" s="7">
        <v>65.75</v>
      </c>
      <c r="I1072" s="7">
        <v>53.65</v>
      </c>
      <c r="J1072" s="7">
        <v>48.55</v>
      </c>
      <c r="K1072" s="7"/>
      <c r="L1072" s="7">
        <v>46.45</v>
      </c>
      <c r="M1072" s="7">
        <v>48.85</v>
      </c>
      <c r="Q1072" s="30">
        <v>88.55</v>
      </c>
      <c r="R1072" s="73">
        <v>75</v>
      </c>
      <c r="S1072" s="30">
        <f>R1072*Q1072</f>
        <v>6641.25</v>
      </c>
    </row>
    <row r="1073" spans="2:26" x14ac:dyDescent="0.3">
      <c r="B1073" s="72">
        <f>B1072+50</f>
        <v>15400</v>
      </c>
      <c r="C1073" s="51">
        <v>68.349999999999994</v>
      </c>
      <c r="D1073" s="30">
        <v>64.7</v>
      </c>
      <c r="E1073" s="40"/>
      <c r="F1073" s="30">
        <f t="shared" si="64"/>
        <v>15464.7</v>
      </c>
      <c r="H1073" s="7">
        <v>50.4</v>
      </c>
      <c r="I1073" s="7">
        <v>41.9</v>
      </c>
      <c r="J1073" s="7">
        <v>38.049999999999997</v>
      </c>
      <c r="K1073" s="7"/>
      <c r="L1073" s="7">
        <v>36</v>
      </c>
      <c r="M1073" s="7">
        <v>37.799999999999997</v>
      </c>
      <c r="Q1073" s="30">
        <v>88.55</v>
      </c>
      <c r="R1073" s="73">
        <v>75</v>
      </c>
      <c r="S1073" s="30">
        <f>R1073*Q1073</f>
        <v>6641.25</v>
      </c>
      <c r="W1073" s="34" t="s">
        <v>68</v>
      </c>
      <c r="X1073" s="56" t="s">
        <v>69</v>
      </c>
      <c r="Y1073" s="57" t="s">
        <v>70</v>
      </c>
      <c r="Z1073" s="34" t="s">
        <v>68</v>
      </c>
    </row>
    <row r="1074" spans="2:26" x14ac:dyDescent="0.3">
      <c r="B1074" s="26">
        <f>B1073+50</f>
        <v>15450</v>
      </c>
      <c r="C1074" s="30">
        <v>52.95</v>
      </c>
      <c r="D1074" s="30">
        <v>50.05</v>
      </c>
      <c r="E1074" s="40"/>
      <c r="F1074" s="30">
        <f t="shared" si="64"/>
        <v>15500.05</v>
      </c>
      <c r="H1074" s="7">
        <v>38.6</v>
      </c>
      <c r="I1074" s="7">
        <v>32.700000000000003</v>
      </c>
      <c r="J1074" s="7">
        <v>29.45</v>
      </c>
      <c r="K1074" s="7"/>
      <c r="L1074" s="7">
        <v>28.1</v>
      </c>
      <c r="M1074" s="7">
        <v>28.65</v>
      </c>
      <c r="Q1074" s="30"/>
      <c r="R1074" s="73"/>
      <c r="S1074" s="30">
        <f>R1074*Q1074</f>
        <v>0</v>
      </c>
      <c r="W1074" s="63">
        <v>0.41597222222222219</v>
      </c>
      <c r="X1074" s="30">
        <v>68.349999999999994</v>
      </c>
      <c r="Y1074" s="30">
        <v>75.55</v>
      </c>
      <c r="Z1074" s="63">
        <v>0.41597222222222219</v>
      </c>
    </row>
    <row r="1075" spans="2:26" x14ac:dyDescent="0.3">
      <c r="D1075" s="40"/>
      <c r="E1075" s="40">
        <f>F1075-(G1075-F1075)</f>
        <v>69.375</v>
      </c>
      <c r="F1075" s="40">
        <f>AVERAGE(C1072,C1082)</f>
        <v>87.375</v>
      </c>
      <c r="G1075" s="40">
        <f>AVERAGE(C1071,C1081)</f>
        <v>105.375</v>
      </c>
      <c r="H1075" s="17"/>
      <c r="I1075" s="17"/>
      <c r="J1075" s="17"/>
      <c r="K1075" s="76"/>
      <c r="L1075" s="17"/>
      <c r="M1075" s="17"/>
      <c r="Q1075" s="30"/>
      <c r="R1075" s="73"/>
      <c r="S1075" s="30">
        <f>R1075*Q1075</f>
        <v>0</v>
      </c>
      <c r="W1075" s="63">
        <v>0.4368055555555555</v>
      </c>
      <c r="X1075" s="30">
        <v>71.099999999999994</v>
      </c>
      <c r="Y1075" s="30">
        <v>68.5</v>
      </c>
      <c r="Z1075" s="63">
        <v>0.4368055555555555</v>
      </c>
    </row>
    <row r="1076" spans="2:26" x14ac:dyDescent="0.3">
      <c r="C1076" s="64">
        <v>44252</v>
      </c>
      <c r="E1076" s="40">
        <f>E1075-(F1075-E1075)</f>
        <v>51.375</v>
      </c>
      <c r="F1076" s="40">
        <f>AVERAGE(E1075,F1075)</f>
        <v>78.375</v>
      </c>
      <c r="G1076" s="40"/>
      <c r="H1076" s="66">
        <v>0.4826388888888889</v>
      </c>
      <c r="I1076" s="66">
        <v>0.51250000000000007</v>
      </c>
      <c r="J1076" s="66">
        <v>6.25E-2</v>
      </c>
      <c r="K1076" s="66"/>
      <c r="L1076" s="66">
        <v>8.3333333333333329E-2</v>
      </c>
      <c r="M1076" s="66">
        <v>0.13541666666666666</v>
      </c>
      <c r="Q1076" s="30">
        <f>S1076/R1076</f>
        <v>88.55</v>
      </c>
      <c r="R1076" s="73">
        <f>SUM(R1072:R1075)</f>
        <v>150</v>
      </c>
      <c r="S1076" s="30">
        <f>SUM(S1072:S1075)</f>
        <v>13282.5</v>
      </c>
      <c r="V1076" s="40"/>
      <c r="W1076" s="63">
        <v>0.45763888888888887</v>
      </c>
      <c r="X1076" s="30">
        <v>69.400000000000006</v>
      </c>
      <c r="Y1076" s="30">
        <v>70.150000000000006</v>
      </c>
      <c r="Z1076" s="63">
        <v>0.45763888888888887</v>
      </c>
    </row>
    <row r="1077" spans="2:26" x14ac:dyDescent="0.3">
      <c r="B1077" s="34" t="s">
        <v>68</v>
      </c>
      <c r="C1077" s="63">
        <v>0.41666666666666669</v>
      </c>
      <c r="D1077" s="63">
        <v>0.39166666666666666</v>
      </c>
      <c r="E1077" s="40">
        <f>F1077-(G1077-F1077)</f>
        <v>69.375</v>
      </c>
      <c r="F1077" s="40">
        <f>AVERAGE(C1082,C1072)</f>
        <v>87.375</v>
      </c>
      <c r="G1077" s="40">
        <f>AVERAGE(C1081,C1071)</f>
        <v>105.375</v>
      </c>
      <c r="H1077" s="23">
        <v>87.3</v>
      </c>
      <c r="I1077" s="7">
        <v>105.3</v>
      </c>
      <c r="J1077" s="7">
        <v>123.4</v>
      </c>
      <c r="K1077" s="7"/>
      <c r="L1077" s="7">
        <v>15074.75</v>
      </c>
      <c r="M1077" s="7">
        <v>15114.7</v>
      </c>
      <c r="P1077" s="50">
        <f>S1083</f>
        <v>1886.25</v>
      </c>
      <c r="Q1077" s="57" t="s">
        <v>72</v>
      </c>
      <c r="S1077" s="57" t="s">
        <v>73</v>
      </c>
      <c r="T1077" s="23">
        <f>((X1075+Y1075)-(X1083+Y1083))</f>
        <v>13.699999999999989</v>
      </c>
      <c r="U1077" s="23"/>
      <c r="V1077" s="50">
        <f>T1077*225</f>
        <v>3082.4999999999973</v>
      </c>
      <c r="W1077" s="63">
        <v>0.47847222222222219</v>
      </c>
      <c r="X1077" s="30">
        <v>56</v>
      </c>
      <c r="Y1077" s="30">
        <v>83.6</v>
      </c>
      <c r="Z1077" s="63">
        <v>0.47847222222222219</v>
      </c>
    </row>
    <row r="1078" spans="2:26" x14ac:dyDescent="0.3">
      <c r="B1078" s="26">
        <f>B1079+50</f>
        <v>15250</v>
      </c>
      <c r="C1078" s="30">
        <v>161</v>
      </c>
      <c r="D1078" s="30">
        <v>156.94999999999999</v>
      </c>
      <c r="E1078" s="40"/>
      <c r="F1078" s="30">
        <f t="shared" ref="F1078:F1083" si="65">B1078-D1078</f>
        <v>15093.05</v>
      </c>
      <c r="H1078" s="7">
        <v>188.65</v>
      </c>
      <c r="I1078" s="7">
        <v>224.55</v>
      </c>
      <c r="J1078" s="7">
        <v>248.3</v>
      </c>
      <c r="K1078" s="7"/>
      <c r="L1078" s="7">
        <v>251.05</v>
      </c>
      <c r="M1078" s="7">
        <v>214</v>
      </c>
      <c r="Q1078" s="30">
        <v>105.3</v>
      </c>
      <c r="R1078" s="73">
        <v>75</v>
      </c>
      <c r="S1078" s="30">
        <f>R1078*Q1078</f>
        <v>7897.5</v>
      </c>
      <c r="W1078" s="63">
        <v>0.4993055555555555</v>
      </c>
      <c r="X1078" s="30">
        <v>48.7</v>
      </c>
      <c r="Y1078" s="30">
        <v>88.55</v>
      </c>
      <c r="Z1078" s="63">
        <v>0.4993055555555555</v>
      </c>
    </row>
    <row r="1079" spans="2:26" x14ac:dyDescent="0.3">
      <c r="B1079" s="26">
        <f>B1080+50</f>
        <v>15200</v>
      </c>
      <c r="C1079" s="30">
        <v>137.9</v>
      </c>
      <c r="D1079" s="7">
        <v>134.4</v>
      </c>
      <c r="E1079" s="40"/>
      <c r="F1079" s="30">
        <f t="shared" si="65"/>
        <v>15065.6</v>
      </c>
      <c r="H1079" s="7">
        <v>162</v>
      </c>
      <c r="I1079" s="7">
        <v>193.25</v>
      </c>
      <c r="J1079" s="7">
        <v>216</v>
      </c>
      <c r="K1079" s="7"/>
      <c r="L1079" s="7">
        <v>220.35</v>
      </c>
      <c r="M1079" s="7">
        <v>184.95</v>
      </c>
      <c r="Q1079" s="30">
        <v>96.95</v>
      </c>
      <c r="R1079" s="73">
        <v>75</v>
      </c>
      <c r="S1079" s="30">
        <f>R1079*Q1079</f>
        <v>7271.25</v>
      </c>
      <c r="T1079" s="40"/>
      <c r="U1079" s="40"/>
      <c r="V1079" s="40"/>
      <c r="W1079" s="63">
        <v>0.52013888888888882</v>
      </c>
      <c r="X1079" s="30">
        <v>40.799999999999997</v>
      </c>
      <c r="Y1079" s="30">
        <v>108.15</v>
      </c>
      <c r="Z1079" s="63">
        <v>0.52013888888888882</v>
      </c>
    </row>
    <row r="1080" spans="2:26" x14ac:dyDescent="0.3">
      <c r="B1080" s="79">
        <v>15150</v>
      </c>
      <c r="C1080" s="30">
        <v>119.65</v>
      </c>
      <c r="D1080" s="7">
        <v>116.15</v>
      </c>
      <c r="E1080" s="40"/>
      <c r="F1080" s="30">
        <f t="shared" si="65"/>
        <v>15033.85</v>
      </c>
      <c r="H1080" s="7">
        <v>140</v>
      </c>
      <c r="I1080" s="7">
        <v>166.75</v>
      </c>
      <c r="J1080" s="7">
        <v>189.6</v>
      </c>
      <c r="K1080" s="7"/>
      <c r="L1080" s="7">
        <v>193.2</v>
      </c>
      <c r="M1080" s="7">
        <v>158.69999999999999</v>
      </c>
      <c r="Q1080" s="30"/>
      <c r="R1080" s="73"/>
      <c r="S1080" s="30">
        <f>R1080*Q1080</f>
        <v>0</v>
      </c>
      <c r="T1080" s="40"/>
      <c r="U1080" s="40"/>
      <c r="V1080" s="40"/>
      <c r="W1080" s="63">
        <v>0.54097222222222219</v>
      </c>
      <c r="X1080" s="30">
        <v>43.6</v>
      </c>
      <c r="Y1080" s="30">
        <v>101.45</v>
      </c>
      <c r="Z1080" s="63">
        <v>0.54097222222222219</v>
      </c>
    </row>
    <row r="1081" spans="2:26" x14ac:dyDescent="0.3">
      <c r="B1081" s="73">
        <f>B1080-50</f>
        <v>15100</v>
      </c>
      <c r="C1081" s="30">
        <v>102.65</v>
      </c>
      <c r="D1081" s="23">
        <v>99.9</v>
      </c>
      <c r="E1081" s="40"/>
      <c r="F1081" s="50">
        <f t="shared" si="65"/>
        <v>15000.1</v>
      </c>
      <c r="H1081" s="7">
        <v>120.5</v>
      </c>
      <c r="I1081" s="7">
        <v>143.15</v>
      </c>
      <c r="J1081" s="7">
        <v>162.75</v>
      </c>
      <c r="K1081" s="7"/>
      <c r="L1081" s="7">
        <v>165.05</v>
      </c>
      <c r="M1081" s="7">
        <v>134.69999999999999</v>
      </c>
      <c r="Q1081" s="30"/>
      <c r="R1081" s="73"/>
      <c r="S1081" s="30">
        <f>R1081*Q1081</f>
        <v>0</v>
      </c>
      <c r="W1081" s="63">
        <v>6.1805555555555558E-2</v>
      </c>
      <c r="X1081" s="30">
        <v>38.200000000000003</v>
      </c>
      <c r="Y1081" s="30">
        <v>118.3</v>
      </c>
      <c r="Z1081" s="63">
        <v>6.1805555555555558E-2</v>
      </c>
    </row>
    <row r="1082" spans="2:26" x14ac:dyDescent="0.3">
      <c r="B1082" s="72">
        <f>B1081-50</f>
        <v>15050</v>
      </c>
      <c r="C1082" s="30">
        <v>87.75</v>
      </c>
      <c r="D1082" s="30">
        <v>85.5</v>
      </c>
      <c r="E1082" s="40"/>
      <c r="F1082" s="30">
        <f t="shared" si="65"/>
        <v>14964.5</v>
      </c>
      <c r="H1082" s="7">
        <v>104.55</v>
      </c>
      <c r="I1082" s="7">
        <v>123.4</v>
      </c>
      <c r="J1082" s="7">
        <v>140.25</v>
      </c>
      <c r="K1082" s="7"/>
      <c r="L1082" s="7">
        <v>142.85</v>
      </c>
      <c r="M1082" s="7">
        <v>113.35</v>
      </c>
      <c r="Q1082" s="30">
        <f>S1082/R1082</f>
        <v>101.125</v>
      </c>
      <c r="R1082" s="73">
        <f>SUM(R1078:R1081)</f>
        <v>150</v>
      </c>
      <c r="S1082" s="30">
        <f>SUM(S1078:S1081)</f>
        <v>15168.75</v>
      </c>
      <c r="W1082" s="63">
        <v>8.2638888888888887E-2</v>
      </c>
      <c r="X1082" s="30">
        <v>36</v>
      </c>
      <c r="Y1082" s="30">
        <v>123.35</v>
      </c>
      <c r="Z1082" s="63">
        <v>8.2638888888888887E-2</v>
      </c>
    </row>
    <row r="1083" spans="2:26" x14ac:dyDescent="0.3">
      <c r="B1083" s="26">
        <f>B1082-50</f>
        <v>15000</v>
      </c>
      <c r="C1083" s="51">
        <v>75.55</v>
      </c>
      <c r="D1083" s="30">
        <v>73.7</v>
      </c>
      <c r="E1083" s="40"/>
      <c r="F1083" s="30">
        <f t="shared" si="65"/>
        <v>14926.3</v>
      </c>
      <c r="H1083" s="7">
        <v>88.55</v>
      </c>
      <c r="I1083" s="7">
        <v>104.25</v>
      </c>
      <c r="J1083" s="7">
        <v>121</v>
      </c>
      <c r="K1083" s="7"/>
      <c r="L1083" s="7">
        <v>123.35</v>
      </c>
      <c r="M1083" s="7">
        <v>96.95</v>
      </c>
      <c r="Q1083" s="136">
        <f>(SUM(Q1078:Q1080)-SUM(Q1072:Q1074))</f>
        <v>25.150000000000006</v>
      </c>
      <c r="R1083" s="137"/>
      <c r="S1083" s="30">
        <f>S1082-S1076</f>
        <v>1886.25</v>
      </c>
      <c r="W1083" s="63">
        <v>0.51736111111111105</v>
      </c>
      <c r="X1083" s="30">
        <v>38.6</v>
      </c>
      <c r="Y1083" s="30">
        <v>87.3</v>
      </c>
      <c r="Z1083" s="63">
        <v>0.4826388888888889</v>
      </c>
    </row>
    <row r="1084" spans="2:26" x14ac:dyDescent="0.3">
      <c r="H1084" s="40">
        <f>H1083-(H1082-H1083)</f>
        <v>72.55</v>
      </c>
      <c r="I1084" s="40">
        <f>I1083-(I1082-I1083)</f>
        <v>85.1</v>
      </c>
    </row>
    <row r="1095" spans="2:26" x14ac:dyDescent="0.3">
      <c r="B1095" s="40"/>
      <c r="C1095" s="50">
        <f>B1096+E1096</f>
        <v>15175.5</v>
      </c>
      <c r="D1095" s="51">
        <f>C1095+E1096</f>
        <v>15275.5</v>
      </c>
      <c r="E1095" s="21"/>
      <c r="F1095" s="21"/>
      <c r="H1095" s="52" t="str">
        <f>IF((C1104-D1104)&gt;(C1113-D1113),"LONG",IF(C1113&gt;D1111,"LONG","SHORT"))</f>
        <v>LONG</v>
      </c>
      <c r="I1095" s="138" t="s">
        <v>105</v>
      </c>
      <c r="J1095" s="139"/>
      <c r="K1095" s="140"/>
      <c r="L1095" s="53">
        <f>AVERAGE(L1096:L1097)</f>
        <v>151.52500000000001</v>
      </c>
      <c r="Q1095" s="54">
        <v>0.39166666666666666</v>
      </c>
      <c r="R1095" s="54">
        <v>0.39861111111111108</v>
      </c>
      <c r="S1095" s="54">
        <v>0.4055555555555555</v>
      </c>
      <c r="T1095" s="54">
        <v>0.41250000000000003</v>
      </c>
      <c r="U1095" s="55"/>
      <c r="W1095" s="34" t="s">
        <v>68</v>
      </c>
      <c r="X1095" s="56" t="s">
        <v>69</v>
      </c>
      <c r="Y1095" s="57" t="s">
        <v>70</v>
      </c>
      <c r="Z1095" s="34" t="s">
        <v>68</v>
      </c>
    </row>
    <row r="1096" spans="2:26" x14ac:dyDescent="0.3">
      <c r="B1096" s="50">
        <v>15075.5</v>
      </c>
      <c r="C1096" s="40"/>
      <c r="D1096" s="58"/>
      <c r="E1096" s="59">
        <f>ROUND((((B1096*F1096%)/4)/10),0)*10</f>
        <v>100</v>
      </c>
      <c r="F1096" s="51">
        <f>(100/B1096)*(F1105-F1114)</f>
        <v>2.6499950250406288</v>
      </c>
      <c r="H1096" s="60" t="s">
        <v>69</v>
      </c>
      <c r="I1096" s="61">
        <f>AVERAGE(C1113,C1102)</f>
        <v>131</v>
      </c>
      <c r="J1096" s="61">
        <f>AVERAGE(C1113,C1103)</f>
        <v>116.97499999999999</v>
      </c>
      <c r="K1096" s="61">
        <f>AVERAGE(C1113,C1104)</f>
        <v>104.425</v>
      </c>
      <c r="L1096" s="61">
        <f>C1102</f>
        <v>154.4</v>
      </c>
      <c r="Q1096" s="51">
        <v>15045.2</v>
      </c>
      <c r="R1096" s="51">
        <v>15040.15</v>
      </c>
      <c r="S1096" s="51">
        <v>15082</v>
      </c>
      <c r="T1096" s="51">
        <v>15097.95</v>
      </c>
      <c r="U1096" s="62"/>
      <c r="W1096" s="63">
        <v>0.41597222222222219</v>
      </c>
      <c r="X1096" s="30">
        <v>101.25</v>
      </c>
      <c r="Y1096" s="30">
        <v>107.6</v>
      </c>
      <c r="Z1096" s="63">
        <v>0.41597222222222219</v>
      </c>
    </row>
    <row r="1097" spans="2:26" x14ac:dyDescent="0.3">
      <c r="B1097" s="40"/>
      <c r="C1097" s="50">
        <f>B1096-E1096</f>
        <v>14975.5</v>
      </c>
      <c r="D1097" s="51">
        <f>C1097-E1096</f>
        <v>14875.5</v>
      </c>
      <c r="E1097" s="21"/>
      <c r="F1097" s="21"/>
      <c r="H1097" s="60" t="s">
        <v>70</v>
      </c>
      <c r="I1097" s="61">
        <f>AVERAGE(C1104,C1111)</f>
        <v>124.95</v>
      </c>
      <c r="J1097" s="61">
        <f>AVERAGE(C1104,C1112)</f>
        <v>114</v>
      </c>
      <c r="K1097" s="61">
        <f>AVERAGE(C1104,C1113)</f>
        <v>104.425</v>
      </c>
      <c r="L1097" s="61">
        <f>C1111</f>
        <v>148.65</v>
      </c>
      <c r="W1097" s="63">
        <v>0.4368055555555555</v>
      </c>
      <c r="X1097" s="30">
        <v>114.15</v>
      </c>
      <c r="Y1097" s="30">
        <v>95.25</v>
      </c>
      <c r="Z1097" s="63">
        <v>0.4368055555555555</v>
      </c>
    </row>
    <row r="1098" spans="2:26" x14ac:dyDescent="0.3">
      <c r="F1098" s="40"/>
      <c r="G1098" s="40"/>
      <c r="K1098" s="40"/>
      <c r="R1098">
        <f>ROUND((29000/81.8)/150,0)*75</f>
        <v>150</v>
      </c>
      <c r="W1098" s="63">
        <v>0.45763888888888887</v>
      </c>
      <c r="X1098" s="30">
        <v>92.85</v>
      </c>
      <c r="Y1098" s="30">
        <v>110.1</v>
      </c>
      <c r="Z1098" s="63">
        <v>0.45763888888888887</v>
      </c>
    </row>
    <row r="1099" spans="2:26" x14ac:dyDescent="0.3">
      <c r="B1099" s="40"/>
      <c r="H1099" t="s">
        <v>69</v>
      </c>
      <c r="I1099" s="36" t="s">
        <v>2</v>
      </c>
      <c r="J1099" s="36" t="s">
        <v>0</v>
      </c>
      <c r="K1099" t="s">
        <v>2</v>
      </c>
      <c r="P1099" s="40"/>
      <c r="W1099" s="63">
        <v>0.47847222222222219</v>
      </c>
      <c r="X1099" s="30">
        <v>104</v>
      </c>
      <c r="Y1099" s="30">
        <v>99.2</v>
      </c>
      <c r="Z1099" s="63">
        <v>0.47847222222222219</v>
      </c>
    </row>
    <row r="1100" spans="2:26" x14ac:dyDescent="0.3">
      <c r="C1100" s="64">
        <v>44246</v>
      </c>
      <c r="F1100" s="30">
        <f>AVERAGE(F1102,F1111)</f>
        <v>15070.650000000001</v>
      </c>
      <c r="G1100" s="65"/>
      <c r="H1100" s="66">
        <v>0.4381944444444445</v>
      </c>
      <c r="I1100" s="66">
        <v>0.45</v>
      </c>
      <c r="J1100" s="66">
        <v>0.4548611111111111</v>
      </c>
      <c r="K1100" s="66">
        <v>6.458333333333334E-2</v>
      </c>
      <c r="L1100" s="66">
        <v>8.6805555555555566E-2</v>
      </c>
      <c r="M1100" s="66">
        <v>0.13541666666666666</v>
      </c>
      <c r="P1100" s="40"/>
      <c r="Q1100" s="132" t="s">
        <v>71</v>
      </c>
      <c r="R1100" s="132"/>
      <c r="S1100" s="132" t="s">
        <v>37</v>
      </c>
      <c r="T1100" s="132"/>
      <c r="U1100" s="69"/>
      <c r="W1100" s="63">
        <v>0.4993055555555555</v>
      </c>
      <c r="X1100" s="30">
        <v>100.45</v>
      </c>
      <c r="Y1100" s="30">
        <v>97.95</v>
      </c>
      <c r="Z1100" s="63">
        <v>0.4993055555555555</v>
      </c>
    </row>
    <row r="1101" spans="2:26" x14ac:dyDescent="0.3">
      <c r="B1101" s="34" t="s">
        <v>68</v>
      </c>
      <c r="C1101" s="63">
        <v>0.41666666666666669</v>
      </c>
      <c r="D1101" s="63">
        <v>0.39513888888888887</v>
      </c>
      <c r="H1101" s="23">
        <v>78.3</v>
      </c>
      <c r="I1101" s="23">
        <v>69.2</v>
      </c>
      <c r="J1101" s="23">
        <v>60.2</v>
      </c>
      <c r="K1101" s="7">
        <v>15033.6</v>
      </c>
      <c r="L1101" s="7">
        <v>14998.9</v>
      </c>
      <c r="M1101" s="7">
        <v>15000</v>
      </c>
      <c r="Q1101" s="61">
        <f>R1101-(S1101-R1101)</f>
        <v>14838</v>
      </c>
      <c r="R1101" s="61">
        <v>15113.9</v>
      </c>
      <c r="S1101" s="61">
        <v>15389.8</v>
      </c>
      <c r="T1101" s="61">
        <f>S1101+(S1101-R1101)</f>
        <v>15665.699999999999</v>
      </c>
      <c r="U1101" s="71"/>
      <c r="W1101" s="63">
        <v>0.52013888888888882</v>
      </c>
      <c r="X1101" s="30">
        <v>97</v>
      </c>
      <c r="Y1101" s="30">
        <v>101.3</v>
      </c>
      <c r="Z1101" s="63">
        <v>0.52013888888888882</v>
      </c>
    </row>
    <row r="1102" spans="2:26" x14ac:dyDescent="0.3">
      <c r="B1102" s="26">
        <f>B1103-50</f>
        <v>15050</v>
      </c>
      <c r="C1102" s="30">
        <v>154.4</v>
      </c>
      <c r="D1102" s="30">
        <v>129.35</v>
      </c>
      <c r="E1102" s="40"/>
      <c r="F1102" s="30">
        <f t="shared" ref="F1102:F1107" si="66">B1102+D1102</f>
        <v>15179.35</v>
      </c>
      <c r="H1102" s="7">
        <v>182.9</v>
      </c>
      <c r="I1102" s="7">
        <v>166.8</v>
      </c>
      <c r="J1102" s="7">
        <v>148.5</v>
      </c>
      <c r="K1102" s="7">
        <v>128</v>
      </c>
      <c r="L1102" s="7">
        <v>114.6</v>
      </c>
      <c r="M1102" s="7">
        <v>106.35</v>
      </c>
      <c r="R1102" s="40"/>
      <c r="S1102" s="40"/>
      <c r="T1102" s="40">
        <f>B1096</f>
        <v>15075.5</v>
      </c>
      <c r="U1102" s="40"/>
      <c r="W1102" s="63">
        <v>0.54097222222222219</v>
      </c>
      <c r="X1102" s="30">
        <v>96.6</v>
      </c>
      <c r="Y1102" s="30">
        <v>101.4</v>
      </c>
      <c r="Z1102" s="63">
        <v>0.54097222222222219</v>
      </c>
    </row>
    <row r="1103" spans="2:26" x14ac:dyDescent="0.3">
      <c r="B1103" s="26">
        <f>B1104-50</f>
        <v>15100</v>
      </c>
      <c r="C1103" s="30">
        <v>126.35</v>
      </c>
      <c r="D1103" s="30">
        <v>105.3</v>
      </c>
      <c r="E1103" s="40"/>
      <c r="F1103" s="30">
        <f t="shared" si="66"/>
        <v>15205.3</v>
      </c>
      <c r="H1103" s="7">
        <v>151.94999999999999</v>
      </c>
      <c r="I1103" s="7">
        <v>136.9</v>
      </c>
      <c r="J1103" s="7">
        <v>121</v>
      </c>
      <c r="K1103" s="7">
        <v>103.8</v>
      </c>
      <c r="L1103" s="7">
        <v>92.65</v>
      </c>
      <c r="M1103" s="7">
        <v>84.3</v>
      </c>
      <c r="T1103" s="40">
        <f>C1097</f>
        <v>14975.5</v>
      </c>
      <c r="U1103" s="40"/>
      <c r="W1103" s="63">
        <v>6.1805555555555558E-2</v>
      </c>
      <c r="X1103" s="30">
        <v>85.3</v>
      </c>
      <c r="Y1103" s="30">
        <v>113.4</v>
      </c>
      <c r="Z1103" s="63">
        <v>6.1805555555555558E-2</v>
      </c>
    </row>
    <row r="1104" spans="2:26" x14ac:dyDescent="0.3">
      <c r="B1104" s="79">
        <v>15150</v>
      </c>
      <c r="C1104" s="30">
        <v>101.25</v>
      </c>
      <c r="D1104" s="7">
        <v>83.25</v>
      </c>
      <c r="E1104" s="40"/>
      <c r="F1104" s="30">
        <f t="shared" si="66"/>
        <v>15233.25</v>
      </c>
      <c r="H1104" s="7">
        <v>124.1</v>
      </c>
      <c r="I1104" s="7">
        <v>111.95</v>
      </c>
      <c r="J1104" s="7">
        <v>96.5</v>
      </c>
      <c r="K1104" s="7">
        <v>82.7</v>
      </c>
      <c r="L1104" s="7">
        <v>73.45</v>
      </c>
      <c r="M1104" s="7">
        <v>65.75</v>
      </c>
      <c r="Q1104" s="133" t="s">
        <v>72</v>
      </c>
      <c r="R1104" s="134"/>
      <c r="S1104" s="135"/>
      <c r="W1104" s="63">
        <v>8.2638888888888887E-2</v>
      </c>
      <c r="X1104" s="30">
        <v>80.55</v>
      </c>
      <c r="Y1104" s="30">
        <v>120.35</v>
      </c>
      <c r="Z1104" s="63">
        <v>8.2638888888888887E-2</v>
      </c>
    </row>
    <row r="1105" spans="2:26" x14ac:dyDescent="0.3">
      <c r="B1105" s="26">
        <f>B1104+50</f>
        <v>15200</v>
      </c>
      <c r="C1105" s="30">
        <v>79.349999999999994</v>
      </c>
      <c r="D1105" s="30">
        <v>64.900000000000006</v>
      </c>
      <c r="E1105" s="40"/>
      <c r="F1105" s="50">
        <f t="shared" si="66"/>
        <v>15264.9</v>
      </c>
      <c r="H1105" s="7">
        <v>99.85</v>
      </c>
      <c r="I1105" s="7">
        <v>88.35</v>
      </c>
      <c r="J1105" s="7">
        <v>75.599999999999994</v>
      </c>
      <c r="K1105" s="7">
        <v>64.349999999999994</v>
      </c>
      <c r="L1105" s="7">
        <v>57.35</v>
      </c>
      <c r="M1105" s="7">
        <v>50.2</v>
      </c>
      <c r="Q1105" s="30">
        <v>78.3</v>
      </c>
      <c r="R1105" s="73">
        <v>75</v>
      </c>
      <c r="S1105" s="30">
        <f>R1105*Q1105</f>
        <v>5872.5</v>
      </c>
    </row>
    <row r="1106" spans="2:26" x14ac:dyDescent="0.3">
      <c r="B1106" s="72">
        <f>B1105+50</f>
        <v>15250</v>
      </c>
      <c r="C1106" s="51">
        <v>60.9</v>
      </c>
      <c r="D1106" s="30">
        <v>49.45</v>
      </c>
      <c r="E1106" s="40"/>
      <c r="F1106" s="30">
        <f t="shared" si="66"/>
        <v>15299.45</v>
      </c>
      <c r="H1106" s="7">
        <v>78.5</v>
      </c>
      <c r="I1106" s="7">
        <v>69.099999999999994</v>
      </c>
      <c r="J1106" s="7">
        <v>58.4</v>
      </c>
      <c r="K1106" s="7">
        <v>49</v>
      </c>
      <c r="L1106" s="7">
        <v>44.25</v>
      </c>
      <c r="M1106" s="7">
        <v>37.75</v>
      </c>
      <c r="Q1106" s="30">
        <v>78.3</v>
      </c>
      <c r="R1106" s="73">
        <v>75</v>
      </c>
      <c r="S1106" s="30">
        <f>R1106*Q1106</f>
        <v>5872.5</v>
      </c>
      <c r="W1106" s="34" t="s">
        <v>68</v>
      </c>
      <c r="X1106" s="56" t="s">
        <v>69</v>
      </c>
      <c r="Y1106" s="57" t="s">
        <v>70</v>
      </c>
      <c r="Z1106" s="34" t="s">
        <v>68</v>
      </c>
    </row>
    <row r="1107" spans="2:26" x14ac:dyDescent="0.3">
      <c r="B1107" s="26">
        <f>B1106+50</f>
        <v>15300</v>
      </c>
      <c r="C1107" s="30">
        <v>45.85</v>
      </c>
      <c r="D1107" s="30">
        <v>37.15</v>
      </c>
      <c r="E1107" s="40"/>
      <c r="F1107" s="30">
        <f t="shared" si="66"/>
        <v>15337.15</v>
      </c>
      <c r="H1107" s="7">
        <v>60.2</v>
      </c>
      <c r="I1107" s="7">
        <v>53.15</v>
      </c>
      <c r="J1107" s="7">
        <v>44.3</v>
      </c>
      <c r="K1107" s="7">
        <v>36.85</v>
      </c>
      <c r="L1107" s="7">
        <v>33.450000000000003</v>
      </c>
      <c r="M1107" s="7">
        <v>28</v>
      </c>
      <c r="Q1107" s="30"/>
      <c r="R1107" s="73"/>
      <c r="S1107" s="30">
        <f>R1107*Q1107</f>
        <v>0</v>
      </c>
      <c r="W1107" s="63">
        <v>0.41597222222222219</v>
      </c>
      <c r="X1107" s="30">
        <v>60.9</v>
      </c>
      <c r="Y1107" s="30">
        <v>77.25</v>
      </c>
      <c r="Z1107" s="63">
        <v>0.41597222222222219</v>
      </c>
    </row>
    <row r="1108" spans="2:26" x14ac:dyDescent="0.3">
      <c r="D1108" s="40"/>
      <c r="E1108" s="40">
        <f>F1108-(G1108-F1108)</f>
        <v>60.274999999999991</v>
      </c>
      <c r="F1108" s="40">
        <f>AVERAGE(C1105,C1115)</f>
        <v>78.3</v>
      </c>
      <c r="G1108" s="40">
        <f>AVERAGE(C1104,C1114)</f>
        <v>96.325000000000003</v>
      </c>
      <c r="H1108" s="17"/>
      <c r="I1108" s="17"/>
      <c r="J1108" s="17"/>
      <c r="K1108" s="76"/>
      <c r="L1108" s="17"/>
      <c r="M1108" s="17"/>
      <c r="Q1108" s="30"/>
      <c r="R1108" s="73"/>
      <c r="S1108" s="30">
        <f>R1108*Q1108</f>
        <v>0</v>
      </c>
      <c r="W1108" s="63">
        <v>0.4368055555555555</v>
      </c>
      <c r="X1108" s="30">
        <v>71</v>
      </c>
      <c r="Y1108" s="30">
        <v>67.55</v>
      </c>
      <c r="Z1108" s="63">
        <v>0.4368055555555555</v>
      </c>
    </row>
    <row r="1109" spans="2:26" x14ac:dyDescent="0.3">
      <c r="C1109" s="64">
        <v>44252</v>
      </c>
      <c r="E1109" s="40"/>
      <c r="F1109" s="40">
        <f>AVERAGE(E1110,F1110)</f>
        <v>75.849999999999994</v>
      </c>
      <c r="G1109" s="40"/>
      <c r="H1109" s="66">
        <v>0.4381944444444445</v>
      </c>
      <c r="I1109" s="66">
        <v>0.45</v>
      </c>
      <c r="J1109" s="66">
        <v>0.4548611111111111</v>
      </c>
      <c r="K1109" s="66">
        <v>6.458333333333334E-2</v>
      </c>
      <c r="L1109" s="66">
        <v>8.6805555555555566E-2</v>
      </c>
      <c r="M1109" s="66">
        <v>0.13541666666666666</v>
      </c>
      <c r="Q1109" s="30">
        <f>S1109/R1109</f>
        <v>78.3</v>
      </c>
      <c r="R1109" s="73">
        <f>SUM(R1105:R1108)</f>
        <v>150</v>
      </c>
      <c r="S1109" s="30">
        <f>SUM(S1105:S1108)</f>
        <v>11745</v>
      </c>
      <c r="V1109" s="40"/>
      <c r="W1109" s="63">
        <v>0.45763888888888887</v>
      </c>
      <c r="X1109" s="30">
        <v>55.95</v>
      </c>
      <c r="Y1109" s="30">
        <v>77.75</v>
      </c>
      <c r="Z1109" s="63">
        <v>0.45763888888888887</v>
      </c>
    </row>
    <row r="1110" spans="2:26" x14ac:dyDescent="0.3">
      <c r="B1110" s="34" t="s">
        <v>68</v>
      </c>
      <c r="C1110" s="63">
        <v>0.41666666666666669</v>
      </c>
      <c r="D1110" s="63">
        <v>0.41250000000000003</v>
      </c>
      <c r="E1110" s="40">
        <f>F1110-(G1110-F1110)</f>
        <v>66.325000000000003</v>
      </c>
      <c r="F1110" s="40">
        <f>AVERAGE(C1114,C1105)</f>
        <v>85.375</v>
      </c>
      <c r="G1110" s="40">
        <f>AVERAGE(C1113,C1104)</f>
        <v>104.425</v>
      </c>
      <c r="H1110" s="7">
        <v>15127.5</v>
      </c>
      <c r="I1110" s="7">
        <v>15104.2</v>
      </c>
      <c r="J1110" s="7">
        <v>15073.2</v>
      </c>
      <c r="K1110" s="23">
        <v>85.3</v>
      </c>
      <c r="L1110" s="23">
        <v>104.4</v>
      </c>
      <c r="M1110" s="7">
        <v>15000</v>
      </c>
      <c r="P1110" s="50">
        <f>S1116</f>
        <v>-1845</v>
      </c>
      <c r="Q1110" s="57" t="s">
        <v>72</v>
      </c>
      <c r="S1110" s="57" t="s">
        <v>73</v>
      </c>
      <c r="T1110" s="23">
        <f>((X1108+Y1108)-(X1116+Y1116))</f>
        <v>-17</v>
      </c>
      <c r="U1110" s="23"/>
      <c r="V1110" s="50">
        <f>T1110*225</f>
        <v>-3825</v>
      </c>
      <c r="W1110" s="63">
        <v>0.47847222222222219</v>
      </c>
      <c r="X1110" s="30">
        <v>63.85</v>
      </c>
      <c r="Y1110" s="30">
        <v>69.650000000000006</v>
      </c>
      <c r="Z1110" s="63">
        <v>0.47847222222222219</v>
      </c>
    </row>
    <row r="1111" spans="2:26" x14ac:dyDescent="0.3">
      <c r="B1111" s="26">
        <f>B1112+50</f>
        <v>15100</v>
      </c>
      <c r="C1111" s="30">
        <v>148.65</v>
      </c>
      <c r="D1111" s="30">
        <v>138.05000000000001</v>
      </c>
      <c r="E1111" s="40"/>
      <c r="F1111" s="30">
        <f t="shared" ref="F1111:F1116" si="67">B1111-D1111</f>
        <v>14961.95</v>
      </c>
      <c r="H1111" s="7">
        <v>124.7</v>
      </c>
      <c r="I1111" s="7">
        <v>136</v>
      </c>
      <c r="J1111" s="7">
        <v>148.05000000000001</v>
      </c>
      <c r="K1111" s="7">
        <v>166.4</v>
      </c>
      <c r="L1111" s="7">
        <v>191.2</v>
      </c>
      <c r="M1111" s="7">
        <v>183</v>
      </c>
      <c r="Q1111" s="30">
        <v>66</v>
      </c>
      <c r="R1111" s="73">
        <f>R1105</f>
        <v>75</v>
      </c>
      <c r="S1111" s="30">
        <f>R1111*Q1111</f>
        <v>4950</v>
      </c>
      <c r="W1111" s="63">
        <v>0.4993055555555555</v>
      </c>
      <c r="X1111" s="30">
        <v>61.05</v>
      </c>
      <c r="Y1111" s="30">
        <v>68.599999999999994</v>
      </c>
      <c r="Z1111" s="63">
        <v>0.4993055555555555</v>
      </c>
    </row>
    <row r="1112" spans="2:26" x14ac:dyDescent="0.3">
      <c r="B1112" s="26">
        <f>B1113+50</f>
        <v>15050</v>
      </c>
      <c r="C1112" s="30">
        <v>126.75</v>
      </c>
      <c r="D1112" s="7">
        <v>117.1</v>
      </c>
      <c r="E1112" s="40"/>
      <c r="F1112" s="30">
        <f t="shared" si="67"/>
        <v>14932.9</v>
      </c>
      <c r="H1112" s="7">
        <v>106.25</v>
      </c>
      <c r="I1112" s="7">
        <v>114.75</v>
      </c>
      <c r="J1112" s="7">
        <v>126</v>
      </c>
      <c r="K1112" s="7">
        <v>141.05000000000001</v>
      </c>
      <c r="L1112" s="7">
        <v>162.85</v>
      </c>
      <c r="M1112" s="7">
        <v>155</v>
      </c>
      <c r="Q1112" s="30">
        <v>66</v>
      </c>
      <c r="R1112" s="73">
        <f>R1105</f>
        <v>75</v>
      </c>
      <c r="S1112" s="30">
        <f>R1112*Q1112</f>
        <v>4950</v>
      </c>
      <c r="T1112" s="40"/>
      <c r="U1112" s="40"/>
      <c r="V1112" s="40"/>
      <c r="W1112" s="63">
        <v>0.52013888888888882</v>
      </c>
      <c r="X1112" s="30">
        <v>58.3</v>
      </c>
      <c r="Y1112" s="30">
        <v>70.7</v>
      </c>
      <c r="Z1112" s="63">
        <v>0.52013888888888882</v>
      </c>
    </row>
    <row r="1113" spans="2:26" x14ac:dyDescent="0.3">
      <c r="B1113" s="79">
        <v>15000</v>
      </c>
      <c r="C1113" s="30">
        <v>107.6</v>
      </c>
      <c r="D1113" s="7">
        <v>99.8</v>
      </c>
      <c r="E1113" s="40"/>
      <c r="F1113" s="30">
        <f t="shared" si="67"/>
        <v>14900.2</v>
      </c>
      <c r="H1113" s="7">
        <v>89.4</v>
      </c>
      <c r="I1113" s="7">
        <v>97.75</v>
      </c>
      <c r="J1113" s="7">
        <v>106.8</v>
      </c>
      <c r="K1113" s="7">
        <v>118.95</v>
      </c>
      <c r="L1113" s="7">
        <v>138.15</v>
      </c>
      <c r="M1113" s="7">
        <v>130.80000000000001</v>
      </c>
      <c r="Q1113" s="30"/>
      <c r="R1113" s="73"/>
      <c r="S1113" s="30">
        <f>R1113*Q1113</f>
        <v>0</v>
      </c>
      <c r="T1113" s="40"/>
      <c r="U1113" s="40"/>
      <c r="V1113" s="40"/>
      <c r="W1113" s="63">
        <v>0.54097222222222219</v>
      </c>
      <c r="X1113" s="30">
        <v>57.7</v>
      </c>
      <c r="Y1113" s="30">
        <v>70.95</v>
      </c>
      <c r="Z1113" s="63">
        <v>0.54097222222222219</v>
      </c>
    </row>
    <row r="1114" spans="2:26" x14ac:dyDescent="0.3">
      <c r="B1114" s="73">
        <f>B1113-50</f>
        <v>14950</v>
      </c>
      <c r="C1114" s="30">
        <v>91.4</v>
      </c>
      <c r="D1114" s="23">
        <v>84.6</v>
      </c>
      <c r="E1114" s="40"/>
      <c r="F1114" s="50">
        <f t="shared" si="67"/>
        <v>14865.4</v>
      </c>
      <c r="H1114" s="7">
        <v>75.8</v>
      </c>
      <c r="I1114" s="7">
        <v>81.95</v>
      </c>
      <c r="J1114" s="7">
        <v>89.8</v>
      </c>
      <c r="K1114" s="7">
        <v>100.05</v>
      </c>
      <c r="L1114" s="7">
        <v>116.25</v>
      </c>
      <c r="M1114" s="7">
        <v>109.55</v>
      </c>
      <c r="Q1114" s="30"/>
      <c r="R1114" s="73"/>
      <c r="S1114" s="30">
        <f>R1114*Q1114</f>
        <v>0</v>
      </c>
      <c r="W1114" s="63">
        <v>6.1805555555555558E-2</v>
      </c>
      <c r="X1114" s="30">
        <v>50.55</v>
      </c>
      <c r="Y1114" s="30">
        <v>79.5</v>
      </c>
      <c r="Z1114" s="63">
        <v>6.1805555555555558E-2</v>
      </c>
    </row>
    <row r="1115" spans="2:26" x14ac:dyDescent="0.3">
      <c r="B1115" s="72">
        <f>B1114-50</f>
        <v>14900</v>
      </c>
      <c r="C1115" s="51">
        <v>77.25</v>
      </c>
      <c r="D1115" s="30">
        <v>71.599999999999994</v>
      </c>
      <c r="E1115" s="40"/>
      <c r="F1115" s="30">
        <f t="shared" si="67"/>
        <v>14828.4</v>
      </c>
      <c r="H1115" s="7">
        <v>63.9</v>
      </c>
      <c r="I1115" s="7">
        <v>69.5</v>
      </c>
      <c r="J1115" s="7">
        <v>75.150000000000006</v>
      </c>
      <c r="K1115" s="7">
        <v>83.9</v>
      </c>
      <c r="L1115" s="7">
        <v>97.3</v>
      </c>
      <c r="M1115" s="7">
        <v>90.55</v>
      </c>
      <c r="Q1115" s="30">
        <f>S1115/R1115</f>
        <v>66</v>
      </c>
      <c r="R1115" s="73">
        <f>SUM(R1111:R1114)</f>
        <v>150</v>
      </c>
      <c r="S1115" s="30">
        <f>SUM(S1111:S1114)</f>
        <v>9900</v>
      </c>
      <c r="W1115" s="63">
        <v>8.2638888888888887E-2</v>
      </c>
      <c r="X1115" s="30">
        <v>47.55</v>
      </c>
      <c r="Y1115" s="30">
        <v>84.25</v>
      </c>
      <c r="Z1115" s="63">
        <v>8.2638888888888887E-2</v>
      </c>
    </row>
    <row r="1116" spans="2:26" x14ac:dyDescent="0.3">
      <c r="B1116" s="26">
        <f>B1115-50</f>
        <v>14850</v>
      </c>
      <c r="C1116" s="30">
        <v>65</v>
      </c>
      <c r="D1116" s="30">
        <v>60.4</v>
      </c>
      <c r="E1116" s="40"/>
      <c r="F1116" s="30">
        <f t="shared" si="67"/>
        <v>14789.6</v>
      </c>
      <c r="H1116" s="7">
        <v>53.55</v>
      </c>
      <c r="I1116" s="7">
        <v>57.95</v>
      </c>
      <c r="J1116" s="7">
        <v>63.4</v>
      </c>
      <c r="K1116" s="7">
        <v>70.099999999999994</v>
      </c>
      <c r="L1116" s="7">
        <v>81</v>
      </c>
      <c r="M1116" s="7">
        <v>75</v>
      </c>
      <c r="Q1116" s="136">
        <f>(SUM(Q1111:Q1114)-SUM(Q1105:Q1108))</f>
        <v>-24.599999999999994</v>
      </c>
      <c r="R1116" s="137"/>
      <c r="S1116" s="30">
        <f>S1115-S1109</f>
        <v>-1845</v>
      </c>
      <c r="W1116" s="63">
        <v>0.4381944444444445</v>
      </c>
      <c r="X1116" s="30">
        <v>78.3</v>
      </c>
      <c r="Y1116" s="30">
        <v>77.25</v>
      </c>
      <c r="Z1116" s="63">
        <v>0.4548611111111111</v>
      </c>
    </row>
    <row r="1128" spans="2:26" x14ac:dyDescent="0.3">
      <c r="B1128" s="40"/>
      <c r="C1128" s="50">
        <f>B1129+E1129</f>
        <v>15030.3</v>
      </c>
      <c r="D1128" s="51">
        <f>C1128+E1129</f>
        <v>15130.3</v>
      </c>
      <c r="E1128" s="21"/>
      <c r="F1128" s="21"/>
      <c r="H1128" s="52" t="str">
        <f>IF((C1137-D1137)&gt;(C1146-D1146),"LONG",IF(C1146&gt;D1144,"LONG","SHORT"))</f>
        <v>SHORT</v>
      </c>
      <c r="I1128" s="138" t="s">
        <v>106</v>
      </c>
      <c r="J1128" s="139"/>
      <c r="K1128" s="140"/>
      <c r="L1128" s="53">
        <f>AVERAGE(L1129:L1130)</f>
        <v>142.745</v>
      </c>
      <c r="Q1128" s="54">
        <v>0.39166666666666666</v>
      </c>
      <c r="R1128" s="54">
        <v>0.39861111111111108</v>
      </c>
      <c r="S1128" s="54">
        <v>0.4055555555555555</v>
      </c>
      <c r="T1128" s="54">
        <v>0.41250000000000003</v>
      </c>
      <c r="U1128" s="55"/>
      <c r="W1128" s="34" t="s">
        <v>68</v>
      </c>
      <c r="X1128" s="56" t="s">
        <v>69</v>
      </c>
      <c r="Y1128" s="57" t="s">
        <v>70</v>
      </c>
      <c r="Z1128" s="34" t="s">
        <v>68</v>
      </c>
    </row>
    <row r="1129" spans="2:26" x14ac:dyDescent="0.3">
      <c r="B1129" s="50">
        <v>14930.3</v>
      </c>
      <c r="C1129" s="40"/>
      <c r="D1129" s="58"/>
      <c r="E1129" s="59">
        <f>ROUND((((B1129*F1129%)/4)/10),0)*10</f>
        <v>100</v>
      </c>
      <c r="F1129" s="51">
        <f>(100/B1129)*(F1138-F1147)</f>
        <v>2.5568809735906179</v>
      </c>
      <c r="H1129" s="60" t="s">
        <v>69</v>
      </c>
      <c r="I1129" s="61">
        <f>AVERAGE(C1146,C1135)</f>
        <v>122.04499999999999</v>
      </c>
      <c r="J1129" s="61">
        <f>AVERAGE(C1146,C1136)</f>
        <v>108.125</v>
      </c>
      <c r="K1129" s="61">
        <f>AVERAGE(C1146,C1137)</f>
        <v>95.974999999999994</v>
      </c>
      <c r="L1129" s="61">
        <f>C1135</f>
        <v>146.63999999999999</v>
      </c>
      <c r="Q1129" s="51">
        <v>14936.55</v>
      </c>
      <c r="R1129" s="51">
        <v>14987.4</v>
      </c>
      <c r="S1129" s="51">
        <v>14980.5</v>
      </c>
      <c r="T1129" s="51">
        <v>14947.75</v>
      </c>
      <c r="U1129" s="62"/>
      <c r="W1129" s="63">
        <v>0.41597222222222219</v>
      </c>
      <c r="X1129" s="30">
        <v>94.5</v>
      </c>
      <c r="Y1129" s="30">
        <v>97.45</v>
      </c>
      <c r="Z1129" s="63">
        <v>0.41597222222222219</v>
      </c>
    </row>
    <row r="1130" spans="2:26" x14ac:dyDescent="0.3">
      <c r="B1130" s="40"/>
      <c r="C1130" s="50">
        <f>B1129-E1129</f>
        <v>14830.3</v>
      </c>
      <c r="D1130" s="51">
        <f>C1130-E1129</f>
        <v>14730.3</v>
      </c>
      <c r="E1130" s="21"/>
      <c r="F1130" s="21"/>
      <c r="H1130" s="60" t="s">
        <v>70</v>
      </c>
      <c r="I1130" s="61">
        <f>AVERAGE(C1137,C1144)</f>
        <v>116.675</v>
      </c>
      <c r="J1130" s="61">
        <f>AVERAGE(C1137,C1145)</f>
        <v>105.35</v>
      </c>
      <c r="K1130" s="61">
        <f>AVERAGE(C1137,C1146)</f>
        <v>95.974999999999994</v>
      </c>
      <c r="L1130" s="61">
        <f>C1144</f>
        <v>138.85</v>
      </c>
      <c r="W1130" s="63">
        <v>0.4368055555555555</v>
      </c>
      <c r="X1130" s="30">
        <v>80.849999999999994</v>
      </c>
      <c r="Y1130" s="30">
        <v>110.3</v>
      </c>
      <c r="Z1130" s="63">
        <v>0.4368055555555555</v>
      </c>
    </row>
    <row r="1131" spans="2:26" x14ac:dyDescent="0.3">
      <c r="F1131" s="40"/>
      <c r="G1131" s="40"/>
      <c r="K1131" s="40"/>
      <c r="R1131">
        <f>ROUND((29000/74)/150,0)*75</f>
        <v>225</v>
      </c>
      <c r="W1131" s="63">
        <v>0.45763888888888887</v>
      </c>
      <c r="X1131" s="30">
        <v>79.95</v>
      </c>
      <c r="Y1131" s="30">
        <v>104</v>
      </c>
      <c r="Z1131" s="63">
        <v>0.45763888888888887</v>
      </c>
    </row>
    <row r="1132" spans="2:26" x14ac:dyDescent="0.3">
      <c r="B1132" s="40"/>
      <c r="P1132" s="40"/>
      <c r="W1132" s="63">
        <v>0.47847222222222219</v>
      </c>
      <c r="X1132" s="30">
        <v>55.6</v>
      </c>
      <c r="Y1132" s="30">
        <v>139.69999999999999</v>
      </c>
      <c r="Z1132" s="63">
        <v>0.47847222222222219</v>
      </c>
    </row>
    <row r="1133" spans="2:26" x14ac:dyDescent="0.3">
      <c r="C1133" s="64">
        <v>44249</v>
      </c>
      <c r="F1133" s="30">
        <f>AVERAGE(F1135,F1144)</f>
        <v>14944.85</v>
      </c>
      <c r="G1133" s="65"/>
      <c r="H1133" s="66">
        <v>0.42499999999999999</v>
      </c>
      <c r="I1133" s="66">
        <v>0.43888888888888888</v>
      </c>
      <c r="J1133" s="66">
        <v>0.47847222222222219</v>
      </c>
      <c r="K1133" s="66"/>
      <c r="L1133" s="66"/>
      <c r="M1133" s="66">
        <v>0.13541666666666666</v>
      </c>
      <c r="P1133" s="40"/>
      <c r="Q1133" s="132" t="s">
        <v>71</v>
      </c>
      <c r="R1133" s="132"/>
      <c r="S1133" s="132" t="s">
        <v>37</v>
      </c>
      <c r="T1133" s="132"/>
      <c r="U1133" s="69"/>
      <c r="W1133" s="63">
        <v>0.4993055555555555</v>
      </c>
      <c r="X1133" s="30">
        <v>55.85</v>
      </c>
      <c r="Y1133" s="30">
        <v>146.85</v>
      </c>
      <c r="Z1133" s="63">
        <v>0.4993055555555555</v>
      </c>
    </row>
    <row r="1134" spans="2:26" x14ac:dyDescent="0.3">
      <c r="B1134" s="34" t="s">
        <v>68</v>
      </c>
      <c r="C1134" s="63">
        <v>0.41666666666666669</v>
      </c>
      <c r="D1134" s="63">
        <v>0.38958333333333334</v>
      </c>
      <c r="H1134" s="7">
        <v>14882.45</v>
      </c>
      <c r="I1134" s="7">
        <v>14907.95</v>
      </c>
      <c r="J1134" s="7">
        <v>14821</v>
      </c>
      <c r="K1134" s="7"/>
      <c r="L1134" s="7"/>
      <c r="M1134" s="7">
        <v>14684.95</v>
      </c>
      <c r="Q1134" s="61">
        <f>R1134-(S1134-R1134)</f>
        <v>14561.2</v>
      </c>
      <c r="R1134" s="61">
        <v>14975.5</v>
      </c>
      <c r="S1134" s="61">
        <v>15389.8</v>
      </c>
      <c r="T1134" s="61">
        <f>S1134+(S1134-R1134)</f>
        <v>15804.099999999999</v>
      </c>
      <c r="U1134" s="71"/>
      <c r="W1134" s="63">
        <v>0.52013888888888882</v>
      </c>
      <c r="X1134" s="30">
        <v>53.9</v>
      </c>
      <c r="Y1134" s="30">
        <v>150</v>
      </c>
      <c r="Z1134" s="63">
        <v>0.52013888888888882</v>
      </c>
    </row>
    <row r="1135" spans="2:26" x14ac:dyDescent="0.3">
      <c r="B1135" s="26">
        <f>B1136-50</f>
        <v>14900</v>
      </c>
      <c r="C1135" s="30">
        <v>146.63999999999999</v>
      </c>
      <c r="D1135" s="30">
        <v>145.44999999999999</v>
      </c>
      <c r="E1135" s="40"/>
      <c r="F1135" s="30">
        <f t="shared" ref="F1135:F1140" si="68">B1135+D1135</f>
        <v>15045.45</v>
      </c>
      <c r="H1135" s="7">
        <v>120.4</v>
      </c>
      <c r="I1135" s="7">
        <v>130.94999999999999</v>
      </c>
      <c r="J1135" s="7">
        <v>90.7</v>
      </c>
      <c r="K1135" s="7"/>
      <c r="L1135" s="7"/>
      <c r="M1135" s="7">
        <v>41.4</v>
      </c>
      <c r="R1135" s="40"/>
      <c r="S1135" s="40"/>
      <c r="T1135" s="40">
        <f>B1129</f>
        <v>14930.3</v>
      </c>
      <c r="U1135" s="40"/>
      <c r="W1135" s="63">
        <v>0.54097222222222219</v>
      </c>
      <c r="X1135" s="30">
        <v>43.5</v>
      </c>
      <c r="Y1135" s="30">
        <v>172.5</v>
      </c>
      <c r="Z1135" s="63">
        <v>0.54097222222222219</v>
      </c>
    </row>
    <row r="1136" spans="2:26" x14ac:dyDescent="0.3">
      <c r="B1136" s="26">
        <f>B1137-50</f>
        <v>14950</v>
      </c>
      <c r="C1136" s="30">
        <v>118.8</v>
      </c>
      <c r="D1136" s="30">
        <v>117.25</v>
      </c>
      <c r="E1136" s="40"/>
      <c r="F1136" s="30">
        <f t="shared" si="68"/>
        <v>15067.25</v>
      </c>
      <c r="H1136" s="7">
        <v>96.6</v>
      </c>
      <c r="I1136" s="7">
        <v>105.6</v>
      </c>
      <c r="J1136" s="7">
        <v>72.45</v>
      </c>
      <c r="K1136" s="7"/>
      <c r="L1136" s="7"/>
      <c r="M1136" s="7">
        <v>31.3</v>
      </c>
      <c r="T1136" s="40">
        <f>C1130</f>
        <v>14830.3</v>
      </c>
      <c r="U1136" s="40"/>
      <c r="W1136" s="63">
        <v>6.1805555555555558E-2</v>
      </c>
      <c r="X1136" s="30">
        <v>41.45</v>
      </c>
      <c r="Y1136" s="30">
        <v>170.25</v>
      </c>
      <c r="Z1136" s="63">
        <v>6.1805555555555558E-2</v>
      </c>
    </row>
    <row r="1137" spans="2:26" x14ac:dyDescent="0.3">
      <c r="B1137" s="79">
        <v>15000</v>
      </c>
      <c r="C1137" s="30">
        <v>94.5</v>
      </c>
      <c r="D1137" s="7">
        <v>92.65</v>
      </c>
      <c r="E1137" s="40"/>
      <c r="F1137" s="30">
        <f t="shared" si="68"/>
        <v>15092.65</v>
      </c>
      <c r="H1137" s="7">
        <v>76.25</v>
      </c>
      <c r="I1137" s="7">
        <v>83.8</v>
      </c>
      <c r="J1137" s="7">
        <v>55.6</v>
      </c>
      <c r="K1137" s="7"/>
      <c r="L1137" s="7"/>
      <c r="M1137" s="7">
        <v>23.65</v>
      </c>
      <c r="Q1137" s="133" t="s">
        <v>72</v>
      </c>
      <c r="R1137" s="134"/>
      <c r="S1137" s="135"/>
      <c r="T1137" s="40">
        <f>D1130</f>
        <v>14730.3</v>
      </c>
      <c r="U1137" s="40"/>
      <c r="W1137" s="63">
        <v>8.2638888888888887E-2</v>
      </c>
      <c r="X1137" s="30">
        <v>27.95</v>
      </c>
      <c r="Y1137" s="30">
        <v>215.3</v>
      </c>
      <c r="Z1137" s="63">
        <v>8.2638888888888887E-2</v>
      </c>
    </row>
    <row r="1138" spans="2:26" x14ac:dyDescent="0.3">
      <c r="B1138" s="26">
        <f>B1137+50</f>
        <v>15050</v>
      </c>
      <c r="C1138" s="30">
        <v>74.150000000000006</v>
      </c>
      <c r="D1138" s="23">
        <v>71.849999999999994</v>
      </c>
      <c r="E1138" s="40"/>
      <c r="F1138" s="50">
        <f t="shared" si="68"/>
        <v>15121.85</v>
      </c>
      <c r="H1138" s="7">
        <v>58.95</v>
      </c>
      <c r="I1138" s="7">
        <v>65.400000000000006</v>
      </c>
      <c r="J1138" s="7">
        <v>42.2</v>
      </c>
      <c r="K1138" s="7"/>
      <c r="L1138" s="7"/>
      <c r="M1138" s="7">
        <v>18.149999999999999</v>
      </c>
      <c r="Q1138" s="30">
        <v>78</v>
      </c>
      <c r="R1138" s="73">
        <v>75</v>
      </c>
      <c r="S1138" s="30">
        <f>R1138*Q1138</f>
        <v>5850</v>
      </c>
    </row>
    <row r="1139" spans="2:26" x14ac:dyDescent="0.3">
      <c r="B1139" s="72">
        <f>B1138+50</f>
        <v>15100</v>
      </c>
      <c r="C1139" s="51">
        <v>56.5</v>
      </c>
      <c r="D1139" s="7">
        <v>53.7</v>
      </c>
      <c r="E1139" s="40"/>
      <c r="F1139" s="30">
        <f t="shared" si="68"/>
        <v>15153.7</v>
      </c>
      <c r="H1139" s="7">
        <v>45.1</v>
      </c>
      <c r="I1139" s="7">
        <v>49.65</v>
      </c>
      <c r="J1139" s="7">
        <v>32.049999999999997</v>
      </c>
      <c r="K1139" s="7"/>
      <c r="L1139" s="7"/>
      <c r="M1139" s="7">
        <v>14.4</v>
      </c>
      <c r="Q1139" s="30">
        <v>78</v>
      </c>
      <c r="R1139" s="73">
        <v>75</v>
      </c>
      <c r="S1139" s="30">
        <f>R1139*Q1139</f>
        <v>5850</v>
      </c>
      <c r="W1139" s="34" t="s">
        <v>68</v>
      </c>
      <c r="X1139" s="56" t="s">
        <v>69</v>
      </c>
      <c r="Y1139" s="57" t="s">
        <v>70</v>
      </c>
      <c r="Z1139" s="34" t="s">
        <v>68</v>
      </c>
    </row>
    <row r="1140" spans="2:26" x14ac:dyDescent="0.3">
      <c r="B1140" s="26">
        <f>B1139+50</f>
        <v>15150</v>
      </c>
      <c r="C1140" s="30">
        <v>41.95</v>
      </c>
      <c r="D1140" s="30">
        <v>39.75</v>
      </c>
      <c r="E1140" s="40"/>
      <c r="F1140" s="30">
        <f t="shared" si="68"/>
        <v>15189.75</v>
      </c>
      <c r="H1140" s="7">
        <v>33.549999999999997</v>
      </c>
      <c r="I1140" s="7">
        <v>37.4</v>
      </c>
      <c r="J1140" s="7">
        <v>24.35</v>
      </c>
      <c r="K1140" s="7"/>
      <c r="L1140" s="7"/>
      <c r="M1140" s="7">
        <v>11.55</v>
      </c>
      <c r="Q1140" s="30"/>
      <c r="R1140" s="73"/>
      <c r="S1140" s="30">
        <f>R1140*Q1140</f>
        <v>0</v>
      </c>
      <c r="W1140" s="63">
        <v>0.41597222222222219</v>
      </c>
      <c r="X1140" s="30">
        <v>56.5</v>
      </c>
      <c r="Y1140" s="30">
        <v>66.95</v>
      </c>
      <c r="Z1140" s="63">
        <v>0.41597222222222219</v>
      </c>
    </row>
    <row r="1141" spans="2:26" x14ac:dyDescent="0.3">
      <c r="D1141" s="40"/>
      <c r="E1141" s="40">
        <f>F1141-(G1141-F1141)</f>
        <v>53.450000000000017</v>
      </c>
      <c r="F1141" s="40">
        <f>AVERAGE(C1138,C1148)</f>
        <v>70.550000000000011</v>
      </c>
      <c r="G1141" s="40">
        <f>AVERAGE(C1137,C1147)</f>
        <v>87.65</v>
      </c>
      <c r="H1141" s="17"/>
      <c r="I1141" s="81"/>
      <c r="J1141" s="17"/>
      <c r="K1141" s="76"/>
      <c r="L1141" s="17"/>
      <c r="M1141" s="17"/>
      <c r="Q1141" s="30"/>
      <c r="R1141" s="73"/>
      <c r="S1141" s="30">
        <f>R1141*Q1141</f>
        <v>0</v>
      </c>
      <c r="W1141" s="63">
        <v>0.4368055555555555</v>
      </c>
      <c r="X1141" s="30">
        <v>47.85</v>
      </c>
      <c r="Y1141" s="30">
        <v>75</v>
      </c>
      <c r="Z1141" s="63">
        <v>0.4368055555555555</v>
      </c>
    </row>
    <row r="1142" spans="2:26" x14ac:dyDescent="0.3">
      <c r="C1142" s="64">
        <v>44252</v>
      </c>
      <c r="E1142" s="40"/>
      <c r="F1142" s="40">
        <f>AVERAGE(E1143,F1143)</f>
        <v>68.224999999999994</v>
      </c>
      <c r="G1142" s="40"/>
      <c r="H1142" s="66">
        <v>0.42499999999999999</v>
      </c>
      <c r="I1142" s="66">
        <v>0.43888888888888888</v>
      </c>
      <c r="J1142" s="66">
        <v>0.47847222222222219</v>
      </c>
      <c r="K1142" s="66"/>
      <c r="L1142" s="66"/>
      <c r="M1142" s="66">
        <v>0.13541666666666666</v>
      </c>
      <c r="Q1142" s="30">
        <f>S1142/R1142</f>
        <v>78</v>
      </c>
      <c r="R1142" s="73">
        <f>SUM(R1138:R1141)</f>
        <v>150</v>
      </c>
      <c r="S1142" s="30">
        <f>SUM(S1138:S1141)</f>
        <v>11700</v>
      </c>
      <c r="V1142" s="40"/>
      <c r="W1142" s="63">
        <v>0.45763888888888887</v>
      </c>
      <c r="X1142" s="30">
        <v>45.85</v>
      </c>
      <c r="Y1142" s="30">
        <v>70.45</v>
      </c>
      <c r="Z1142" s="63">
        <v>0.45763888888888887</v>
      </c>
    </row>
    <row r="1143" spans="2:26" x14ac:dyDescent="0.3">
      <c r="B1143" s="34" t="s">
        <v>68</v>
      </c>
      <c r="C1143" s="63">
        <v>0.41666666666666669</v>
      </c>
      <c r="D1143" s="63">
        <v>0.39513888888888887</v>
      </c>
      <c r="E1143" s="40">
        <f>F1143-(G1143-F1143)</f>
        <v>58.974999999999994</v>
      </c>
      <c r="F1143" s="40">
        <f>AVERAGE(C1147,C1138)</f>
        <v>77.474999999999994</v>
      </c>
      <c r="G1143" s="40">
        <f>AVERAGE(C1146,C1137)</f>
        <v>95.974999999999994</v>
      </c>
      <c r="H1143" s="23">
        <v>77.400000000000006</v>
      </c>
      <c r="I1143" s="23">
        <v>68.2</v>
      </c>
      <c r="J1143" s="23">
        <v>95.9</v>
      </c>
      <c r="K1143" s="7"/>
      <c r="L1143" s="7"/>
      <c r="M1143" s="7">
        <v>14684.95</v>
      </c>
      <c r="P1143" s="50">
        <f>S1149</f>
        <v>7200</v>
      </c>
      <c r="Q1143" s="57" t="s">
        <v>72</v>
      </c>
      <c r="S1143" s="57" t="s">
        <v>73</v>
      </c>
      <c r="T1143" s="23">
        <f>((X1141+Y1141)-(X1149+Y1149))</f>
        <v>11.899999999999991</v>
      </c>
      <c r="U1143" s="23"/>
      <c r="V1143" s="50">
        <f>T1143*225</f>
        <v>2677.4999999999982</v>
      </c>
      <c r="W1143" s="63">
        <v>0.47847222222222219</v>
      </c>
      <c r="X1143" s="30">
        <v>32.049999999999997</v>
      </c>
      <c r="Y1143" s="30">
        <v>94.6</v>
      </c>
      <c r="Z1143" s="63">
        <v>0.47847222222222219</v>
      </c>
    </row>
    <row r="1144" spans="2:26" x14ac:dyDescent="0.3">
      <c r="B1144" s="26">
        <f>B1145+50</f>
        <v>14950</v>
      </c>
      <c r="C1144" s="30">
        <v>138.85</v>
      </c>
      <c r="D1144" s="7">
        <v>105.75</v>
      </c>
      <c r="E1144" s="40"/>
      <c r="F1144" s="30">
        <f t="shared" ref="F1144:F1149" si="69">B1144-D1144</f>
        <v>14844.25</v>
      </c>
      <c r="H1144" s="7">
        <v>163.80000000000001</v>
      </c>
      <c r="I1144" s="7">
        <v>147.9</v>
      </c>
      <c r="J1144" s="7">
        <v>198.25</v>
      </c>
      <c r="K1144" s="7"/>
      <c r="L1144" s="7"/>
      <c r="M1144" s="7">
        <v>294</v>
      </c>
      <c r="Q1144" s="30">
        <v>95.9</v>
      </c>
      <c r="R1144" s="73">
        <f>R1138</f>
        <v>75</v>
      </c>
      <c r="S1144" s="30">
        <f>R1144*Q1144</f>
        <v>7192.5</v>
      </c>
      <c r="W1144" s="63">
        <v>0.4993055555555555</v>
      </c>
      <c r="X1144" s="30">
        <v>32.950000000000003</v>
      </c>
      <c r="Y1144" s="30">
        <v>100.6</v>
      </c>
      <c r="Z1144" s="63">
        <v>0.4993055555555555</v>
      </c>
    </row>
    <row r="1145" spans="2:26" x14ac:dyDescent="0.3">
      <c r="B1145" s="26">
        <f>B1146+50</f>
        <v>14900</v>
      </c>
      <c r="C1145" s="30">
        <v>116.2</v>
      </c>
      <c r="D1145" s="7">
        <v>87.65</v>
      </c>
      <c r="E1145" s="40"/>
      <c r="F1145" s="30">
        <f t="shared" si="69"/>
        <v>14812.35</v>
      </c>
      <c r="H1145" s="7">
        <v>137.65</v>
      </c>
      <c r="I1145" s="7">
        <v>123</v>
      </c>
      <c r="J1145" s="7">
        <v>167.45</v>
      </c>
      <c r="K1145" s="7"/>
      <c r="L1145" s="7"/>
      <c r="M1145" s="7">
        <v>255.65</v>
      </c>
      <c r="Q1145" s="30">
        <v>156.1</v>
      </c>
      <c r="R1145" s="73">
        <f>R1139</f>
        <v>75</v>
      </c>
      <c r="S1145" s="30">
        <f>R1145*Q1145</f>
        <v>11707.5</v>
      </c>
      <c r="T1145" s="40"/>
      <c r="U1145" s="40"/>
      <c r="V1145" s="40"/>
      <c r="W1145" s="63">
        <v>0.52013888888888882</v>
      </c>
      <c r="X1145" s="30">
        <v>32.049999999999997</v>
      </c>
      <c r="Y1145" s="30">
        <v>102.85</v>
      </c>
      <c r="Z1145" s="63">
        <v>0.52013888888888882</v>
      </c>
    </row>
    <row r="1146" spans="2:26" x14ac:dyDescent="0.3">
      <c r="B1146" s="79">
        <v>14850</v>
      </c>
      <c r="C1146" s="30">
        <v>97.45</v>
      </c>
      <c r="D1146" s="7">
        <v>72</v>
      </c>
      <c r="E1146" s="40"/>
      <c r="F1146" s="30">
        <f t="shared" si="69"/>
        <v>14778</v>
      </c>
      <c r="H1146" s="7">
        <v>114.6</v>
      </c>
      <c r="I1146" s="7">
        <v>101.9</v>
      </c>
      <c r="J1146" s="7">
        <v>139.69999999999999</v>
      </c>
      <c r="K1146" s="7"/>
      <c r="L1146" s="7"/>
      <c r="M1146" s="7">
        <v>217.9</v>
      </c>
      <c r="Q1146" s="30"/>
      <c r="R1146" s="73"/>
      <c r="S1146" s="30">
        <f>R1146*Q1146</f>
        <v>0</v>
      </c>
      <c r="T1146" s="40"/>
      <c r="U1146" s="40"/>
      <c r="V1146" s="40"/>
      <c r="W1146" s="63">
        <v>0.54097222222222219</v>
      </c>
      <c r="X1146" s="30">
        <v>24.9</v>
      </c>
      <c r="Y1146" s="30">
        <v>120.5</v>
      </c>
      <c r="Z1146" s="63">
        <v>0.54097222222222219</v>
      </c>
    </row>
    <row r="1147" spans="2:26" x14ac:dyDescent="0.3">
      <c r="B1147" s="73">
        <f>B1146-50</f>
        <v>14800</v>
      </c>
      <c r="C1147" s="30">
        <v>80.8</v>
      </c>
      <c r="D1147" s="23">
        <v>59.9</v>
      </c>
      <c r="E1147" s="40"/>
      <c r="F1147" s="50">
        <f t="shared" si="69"/>
        <v>14740.1</v>
      </c>
      <c r="H1147" s="7">
        <v>94.95</v>
      </c>
      <c r="I1147" s="7">
        <v>83.5</v>
      </c>
      <c r="J1147" s="7">
        <v>114.75</v>
      </c>
      <c r="K1147" s="7"/>
      <c r="L1147" s="7"/>
      <c r="M1147" s="7">
        <v>185.3</v>
      </c>
      <c r="Q1147" s="30"/>
      <c r="R1147" s="73"/>
      <c r="S1147" s="30">
        <f>R1147*Q1147</f>
        <v>0</v>
      </c>
      <c r="W1147" s="63">
        <v>6.1805555555555558E-2</v>
      </c>
      <c r="X1147" s="30">
        <v>23.6</v>
      </c>
      <c r="Y1147" s="30">
        <v>119.45</v>
      </c>
      <c r="Z1147" s="63">
        <v>6.1805555555555558E-2</v>
      </c>
    </row>
    <row r="1148" spans="2:26" x14ac:dyDescent="0.3">
      <c r="B1148" s="72">
        <f>B1147-50</f>
        <v>14750</v>
      </c>
      <c r="C1148" s="51">
        <v>66.95</v>
      </c>
      <c r="D1148" s="30">
        <v>48.85</v>
      </c>
      <c r="E1148" s="40"/>
      <c r="F1148" s="30">
        <f t="shared" si="69"/>
        <v>14701.15</v>
      </c>
      <c r="H1148" s="7">
        <v>78</v>
      </c>
      <c r="I1148" s="7">
        <v>67.849999999999994</v>
      </c>
      <c r="J1148" s="7">
        <v>94.6</v>
      </c>
      <c r="K1148" s="7"/>
      <c r="L1148" s="7"/>
      <c r="M1148" s="7">
        <v>156.1</v>
      </c>
      <c r="Q1148" s="30">
        <f>S1148/R1148</f>
        <v>126</v>
      </c>
      <c r="R1148" s="73">
        <f>SUM(R1144:R1147)</f>
        <v>150</v>
      </c>
      <c r="S1148" s="30">
        <f>SUM(S1144:S1147)</f>
        <v>18900</v>
      </c>
      <c r="W1148" s="63">
        <v>8.2638888888888887E-2</v>
      </c>
      <c r="X1148" s="30">
        <v>16.25</v>
      </c>
      <c r="Y1148" s="30">
        <v>154.65</v>
      </c>
      <c r="Z1148" s="63">
        <v>8.2638888888888887E-2</v>
      </c>
    </row>
    <row r="1149" spans="2:26" x14ac:dyDescent="0.3">
      <c r="B1149" s="26">
        <f>B1148-50</f>
        <v>14700</v>
      </c>
      <c r="C1149" s="30">
        <v>55.6</v>
      </c>
      <c r="D1149" s="30">
        <v>40.5</v>
      </c>
      <c r="E1149" s="40"/>
      <c r="F1149" s="30">
        <f t="shared" si="69"/>
        <v>14659.5</v>
      </c>
      <c r="H1149" s="7">
        <v>63.85</v>
      </c>
      <c r="I1149" s="7">
        <v>55.4</v>
      </c>
      <c r="J1149" s="7">
        <v>77.349999999999994</v>
      </c>
      <c r="K1149" s="7"/>
      <c r="L1149" s="7"/>
      <c r="M1149" s="7">
        <v>130.65</v>
      </c>
      <c r="Q1149" s="136">
        <f>(SUM(Q1144:Q1147)-SUM(Q1138:Q1141))</f>
        <v>96</v>
      </c>
      <c r="R1149" s="137"/>
      <c r="S1149" s="30">
        <f>S1148-S1142</f>
        <v>7200</v>
      </c>
      <c r="W1149" s="63">
        <v>0.47222222222222227</v>
      </c>
      <c r="X1149" s="30">
        <v>33.549999999999997</v>
      </c>
      <c r="Y1149" s="23">
        <v>77.400000000000006</v>
      </c>
      <c r="Z1149" s="63">
        <v>0.42499999999999999</v>
      </c>
    </row>
    <row r="1161" spans="2:26" x14ac:dyDescent="0.3">
      <c r="B1161" s="40"/>
      <c r="C1161" s="50">
        <f>B1162+E1162</f>
        <v>14815</v>
      </c>
      <c r="D1161" s="51">
        <f>C1161+E1162</f>
        <v>14905</v>
      </c>
      <c r="E1161" s="21"/>
      <c r="F1161" s="21"/>
      <c r="H1161" s="52" t="str">
        <f>IF((C1170-D1170)&gt;(C1179-D1179),"LONG",IF(C1179&gt;D1177,"LONG","SHORT"))</f>
        <v>LONG</v>
      </c>
      <c r="I1161" s="138" t="s">
        <v>107</v>
      </c>
      <c r="J1161" s="139"/>
      <c r="K1161" s="140"/>
      <c r="L1161" s="53">
        <f>AVERAGE(L1162:L1163)</f>
        <v>125.42500000000001</v>
      </c>
      <c r="Q1161" s="54">
        <v>0.39166666666666666</v>
      </c>
      <c r="R1161" s="54">
        <v>0.39861111111111108</v>
      </c>
      <c r="S1161" s="54">
        <v>0.4055555555555555</v>
      </c>
      <c r="T1161" s="54">
        <v>0.41250000000000003</v>
      </c>
      <c r="U1161" s="55"/>
      <c r="W1161" s="34" t="s">
        <v>68</v>
      </c>
      <c r="X1161" s="56" t="s">
        <v>69</v>
      </c>
      <c r="Y1161" s="57" t="s">
        <v>70</v>
      </c>
      <c r="Z1161" s="34" t="s">
        <v>68</v>
      </c>
    </row>
    <row r="1162" spans="2:26" x14ac:dyDescent="0.3">
      <c r="B1162" s="50">
        <v>14725</v>
      </c>
      <c r="C1162" s="40"/>
      <c r="D1162" s="58"/>
      <c r="E1162" s="59">
        <f>ROUND((((B1162*F1162%)/4)/10),0)*10</f>
        <v>90</v>
      </c>
      <c r="F1162" s="51">
        <f>(100/B1162)*(F1171-F1180)</f>
        <v>2.3616298811544989</v>
      </c>
      <c r="H1162" s="60" t="s">
        <v>69</v>
      </c>
      <c r="I1162" s="61">
        <f>AVERAGE(C1179,C1168)</f>
        <v>104.45</v>
      </c>
      <c r="J1162" s="61">
        <f>AVERAGE(C1179,C1169)</f>
        <v>90.875</v>
      </c>
      <c r="K1162" s="61">
        <f>AVERAGE(C1179,C1170)</f>
        <v>79.349999999999994</v>
      </c>
      <c r="L1162" s="61">
        <f>C1168</f>
        <v>125.45</v>
      </c>
      <c r="Q1162" s="51">
        <v>14750.1</v>
      </c>
      <c r="R1162" s="51">
        <v>14734</v>
      </c>
      <c r="S1162" s="51">
        <v>14692.4</v>
      </c>
      <c r="T1162" s="51">
        <v>14718</v>
      </c>
      <c r="U1162" s="62"/>
      <c r="W1162" s="63">
        <v>0.41597222222222219</v>
      </c>
      <c r="X1162" s="30">
        <v>75.25</v>
      </c>
      <c r="Y1162" s="30">
        <v>83.45</v>
      </c>
      <c r="Z1162" s="63">
        <v>0.41597222222222219</v>
      </c>
    </row>
    <row r="1163" spans="2:26" x14ac:dyDescent="0.3">
      <c r="B1163" s="40"/>
      <c r="C1163" s="50">
        <f>B1162-E1162</f>
        <v>14635</v>
      </c>
      <c r="D1163" s="51">
        <f>C1163-E1162</f>
        <v>14545</v>
      </c>
      <c r="E1163" s="21"/>
      <c r="F1163" s="21"/>
      <c r="H1163" s="60" t="s">
        <v>70</v>
      </c>
      <c r="I1163" s="61">
        <f>AVERAGE(C1170,C1177)</f>
        <v>100.325</v>
      </c>
      <c r="J1163" s="61">
        <f>AVERAGE(C1170,C1178)</f>
        <v>88.724999999999994</v>
      </c>
      <c r="K1163" s="61">
        <f>AVERAGE(C1170,C1179)</f>
        <v>79.349999999999994</v>
      </c>
      <c r="L1163" s="61">
        <f>C1177</f>
        <v>125.4</v>
      </c>
      <c r="W1163" s="63">
        <v>0.4368055555555555</v>
      </c>
      <c r="X1163" s="30">
        <v>110.35</v>
      </c>
      <c r="Y1163" s="30">
        <v>53.5</v>
      </c>
      <c r="Z1163" s="63">
        <v>0.4368055555555555</v>
      </c>
    </row>
    <row r="1164" spans="2:26" x14ac:dyDescent="0.3">
      <c r="F1164" s="40"/>
      <c r="G1164" s="40"/>
      <c r="K1164" s="40"/>
      <c r="R1164">
        <f>ROUND((50000/71)/150,0)*75</f>
        <v>375</v>
      </c>
      <c r="W1164" s="63">
        <v>0.45763888888888887</v>
      </c>
      <c r="X1164" s="30">
        <v>118.9</v>
      </c>
      <c r="Y1164" s="30">
        <v>46.4</v>
      </c>
      <c r="Z1164" s="63">
        <v>0.45763888888888887</v>
      </c>
    </row>
    <row r="1165" spans="2:26" x14ac:dyDescent="0.3">
      <c r="B1165" s="40"/>
      <c r="P1165" s="40"/>
      <c r="W1165" s="63">
        <v>0.47847222222222219</v>
      </c>
      <c r="X1165" s="30">
        <v>108.2</v>
      </c>
      <c r="Y1165" s="30">
        <v>50.9</v>
      </c>
      <c r="Z1165" s="63">
        <v>0.47847222222222219</v>
      </c>
    </row>
    <row r="1166" spans="2:26" x14ac:dyDescent="0.3">
      <c r="C1166" s="64">
        <v>44250</v>
      </c>
      <c r="F1166" s="30">
        <f>AVERAGE(F1168,F1177)</f>
        <v>14723.575000000001</v>
      </c>
      <c r="G1166" s="65"/>
      <c r="H1166" s="66">
        <v>0.4284722222222222</v>
      </c>
      <c r="I1166" s="66">
        <v>0.4381944444444445</v>
      </c>
      <c r="J1166" s="66">
        <v>0.48125000000000001</v>
      </c>
      <c r="K1166" s="66">
        <v>0.49027777777777781</v>
      </c>
      <c r="L1166" s="66">
        <v>4.7222222222222221E-2</v>
      </c>
      <c r="M1166" s="66">
        <v>0.13541666666666666</v>
      </c>
      <c r="P1166" s="40"/>
      <c r="Q1166" s="132" t="s">
        <v>71</v>
      </c>
      <c r="R1166" s="132"/>
      <c r="S1166" s="132" t="s">
        <v>37</v>
      </c>
      <c r="T1166" s="132"/>
      <c r="U1166" s="69"/>
      <c r="W1166" s="63">
        <v>0.4993055555555555</v>
      </c>
      <c r="X1166" s="30">
        <v>87.55</v>
      </c>
      <c r="Y1166" s="30">
        <v>62.9</v>
      </c>
      <c r="Z1166" s="63">
        <v>0.4993055555555555</v>
      </c>
    </row>
    <row r="1167" spans="2:26" x14ac:dyDescent="0.3">
      <c r="B1167" s="34" t="s">
        <v>68</v>
      </c>
      <c r="C1167" s="63">
        <v>0.41666666666666669</v>
      </c>
      <c r="D1167" s="63">
        <v>0.40763888888888888</v>
      </c>
      <c r="H1167" s="23">
        <v>71.400000000000006</v>
      </c>
      <c r="I1167" s="23">
        <v>90.8</v>
      </c>
      <c r="J1167" s="23">
        <v>71.400000000000006</v>
      </c>
      <c r="K1167" s="23">
        <v>51.9</v>
      </c>
      <c r="L1167" s="7">
        <v>71.400000000000006</v>
      </c>
      <c r="M1167" s="7">
        <v>14731.8</v>
      </c>
      <c r="Q1167" s="61">
        <f>R1167-(S1167-R1167)</f>
        <v>14172.649999999998</v>
      </c>
      <c r="R1167" s="61">
        <v>14730.3</v>
      </c>
      <c r="S1167" s="61">
        <v>15287.95</v>
      </c>
      <c r="T1167" s="61">
        <f>S1167+(S1167-R1167)</f>
        <v>15845.600000000002</v>
      </c>
      <c r="U1167" s="71"/>
      <c r="W1167" s="63">
        <v>0.52013888888888882</v>
      </c>
      <c r="X1167" s="30">
        <v>80.2</v>
      </c>
      <c r="Y1167" s="30">
        <v>64.599999999999994</v>
      </c>
      <c r="Z1167" s="63">
        <v>0.52013888888888882</v>
      </c>
    </row>
    <row r="1168" spans="2:26" x14ac:dyDescent="0.3">
      <c r="B1168" s="26">
        <f>B1169-50</f>
        <v>14700</v>
      </c>
      <c r="C1168" s="30">
        <v>125.45</v>
      </c>
      <c r="D1168" s="7">
        <v>100.65</v>
      </c>
      <c r="E1168" s="40"/>
      <c r="F1168" s="30">
        <f t="shared" ref="F1168:F1173" si="70">B1168+D1168</f>
        <v>14800.65</v>
      </c>
      <c r="H1168" s="7">
        <v>154.1</v>
      </c>
      <c r="I1168" s="7">
        <v>188.9</v>
      </c>
      <c r="J1168" s="7">
        <v>166</v>
      </c>
      <c r="K1168" s="7">
        <v>115</v>
      </c>
      <c r="L1168" s="7">
        <v>150.5</v>
      </c>
      <c r="M1168" s="7">
        <v>111.65</v>
      </c>
      <c r="R1168" s="40"/>
      <c r="S1168" s="40"/>
      <c r="T1168" s="40">
        <f>B1162</f>
        <v>14725</v>
      </c>
      <c r="U1168" s="40"/>
      <c r="W1168" s="63">
        <v>0.54097222222222219</v>
      </c>
      <c r="X1168" s="30">
        <v>69.650000000000006</v>
      </c>
      <c r="Y1168" s="30">
        <v>69.05</v>
      </c>
      <c r="Z1168" s="63">
        <v>0.54097222222222219</v>
      </c>
    </row>
    <row r="1169" spans="2:26" x14ac:dyDescent="0.3">
      <c r="B1169" s="26">
        <f>B1170-50</f>
        <v>14750</v>
      </c>
      <c r="C1169" s="30">
        <v>98.3</v>
      </c>
      <c r="D1169" s="7">
        <v>78.349999999999994</v>
      </c>
      <c r="E1169" s="40"/>
      <c r="F1169" s="30">
        <f t="shared" si="70"/>
        <v>14828.35</v>
      </c>
      <c r="H1169" s="7">
        <v>122.3</v>
      </c>
      <c r="I1169" s="7">
        <v>152.80000000000001</v>
      </c>
      <c r="J1169" s="7">
        <v>132.55000000000001</v>
      </c>
      <c r="K1169" s="7">
        <v>88.95</v>
      </c>
      <c r="L1169" s="7">
        <v>120</v>
      </c>
      <c r="M1169" s="7">
        <v>84.1</v>
      </c>
      <c r="T1169" s="40">
        <f>C1161</f>
        <v>14815</v>
      </c>
      <c r="U1169" s="40"/>
      <c r="W1169" s="63">
        <v>6.1805555555555558E-2</v>
      </c>
      <c r="X1169" s="30">
        <v>85</v>
      </c>
      <c r="Y1169" s="30">
        <v>53.4</v>
      </c>
      <c r="Z1169" s="63">
        <v>6.1805555555555558E-2</v>
      </c>
    </row>
    <row r="1170" spans="2:26" x14ac:dyDescent="0.3">
      <c r="B1170" s="79">
        <v>14800</v>
      </c>
      <c r="C1170" s="30">
        <v>75.25</v>
      </c>
      <c r="D1170" s="7">
        <v>58.4</v>
      </c>
      <c r="E1170" s="40"/>
      <c r="F1170" s="30">
        <f t="shared" si="70"/>
        <v>14858.4</v>
      </c>
      <c r="H1170" s="7">
        <v>94.55</v>
      </c>
      <c r="I1170" s="7">
        <v>120.4</v>
      </c>
      <c r="J1170" s="7">
        <v>102.7</v>
      </c>
      <c r="K1170" s="7">
        <v>66.8</v>
      </c>
      <c r="L1170" s="7">
        <v>90.55</v>
      </c>
      <c r="M1170" s="7">
        <v>60.95</v>
      </c>
      <c r="Q1170" s="133" t="s">
        <v>72</v>
      </c>
      <c r="R1170" s="134"/>
      <c r="S1170" s="135"/>
      <c r="T1170" s="40">
        <f>B1162</f>
        <v>14725</v>
      </c>
      <c r="U1170" s="40"/>
      <c r="W1170" s="63">
        <v>8.2638888888888887E-2</v>
      </c>
      <c r="X1170" s="30">
        <v>71</v>
      </c>
      <c r="Y1170" s="30">
        <v>59.85</v>
      </c>
      <c r="Z1170" s="63">
        <v>8.2638888888888887E-2</v>
      </c>
    </row>
    <row r="1171" spans="2:26" x14ac:dyDescent="0.3">
      <c r="B1171" s="26">
        <f>B1170+50</f>
        <v>14850</v>
      </c>
      <c r="C1171" s="51">
        <v>56.35</v>
      </c>
      <c r="D1171" s="23">
        <v>43.4</v>
      </c>
      <c r="E1171" s="40"/>
      <c r="F1171" s="50">
        <f t="shared" si="70"/>
        <v>14893.4</v>
      </c>
      <c r="H1171" s="7">
        <v>71.599999999999994</v>
      </c>
      <c r="I1171" s="7">
        <v>92.35</v>
      </c>
      <c r="J1171" s="7">
        <v>77.95</v>
      </c>
      <c r="K1171" s="7">
        <v>49.25</v>
      </c>
      <c r="L1171" s="7">
        <v>68.5</v>
      </c>
      <c r="M1171" s="7">
        <v>43.15</v>
      </c>
      <c r="Q1171" s="30">
        <v>71.400000000000006</v>
      </c>
      <c r="R1171" s="73">
        <v>150</v>
      </c>
      <c r="S1171" s="30">
        <f>R1171*Q1171</f>
        <v>10710</v>
      </c>
    </row>
    <row r="1172" spans="2:26" x14ac:dyDescent="0.3">
      <c r="B1172" s="72">
        <f>B1171+50</f>
        <v>14900</v>
      </c>
      <c r="C1172" s="30">
        <v>41.1</v>
      </c>
      <c r="D1172" s="30">
        <v>31.45</v>
      </c>
      <c r="E1172" s="40"/>
      <c r="F1172" s="30">
        <f t="shared" si="70"/>
        <v>14931.45</v>
      </c>
      <c r="H1172" s="7">
        <v>52.9</v>
      </c>
      <c r="I1172" s="7">
        <v>69.400000000000006</v>
      </c>
      <c r="J1172" s="7">
        <v>57.75</v>
      </c>
      <c r="K1172" s="7">
        <v>35.85</v>
      </c>
      <c r="L1172" s="7">
        <v>50</v>
      </c>
      <c r="M1172" s="7">
        <v>29.8</v>
      </c>
      <c r="Q1172" s="30"/>
      <c r="R1172" s="73"/>
      <c r="S1172" s="30">
        <f>R1172*Q1172</f>
        <v>0</v>
      </c>
      <c r="W1172" s="34" t="s">
        <v>68</v>
      </c>
      <c r="X1172" s="56" t="s">
        <v>69</v>
      </c>
      <c r="Y1172" s="57" t="s">
        <v>70</v>
      </c>
      <c r="Z1172" s="34" t="s">
        <v>68</v>
      </c>
    </row>
    <row r="1173" spans="2:26" x14ac:dyDescent="0.3">
      <c r="B1173" s="26">
        <f>B1172+50</f>
        <v>14950</v>
      </c>
      <c r="C1173" s="30">
        <v>29.1</v>
      </c>
      <c r="D1173" s="30">
        <v>22.1</v>
      </c>
      <c r="E1173" s="40"/>
      <c r="F1173" s="30">
        <f t="shared" si="70"/>
        <v>14972.1</v>
      </c>
      <c r="H1173" s="7">
        <v>38.200000000000003</v>
      </c>
      <c r="I1173" s="7">
        <v>50.85</v>
      </c>
      <c r="J1173" s="7">
        <v>42.3</v>
      </c>
      <c r="K1173" s="7">
        <v>25.7</v>
      </c>
      <c r="L1173" s="7">
        <v>35.6</v>
      </c>
      <c r="M1173" s="7">
        <v>20.2</v>
      </c>
      <c r="Q1173" s="30"/>
      <c r="R1173" s="73"/>
      <c r="S1173" s="30">
        <f>R1173*Q1173</f>
        <v>0</v>
      </c>
      <c r="W1173" s="63">
        <v>0.41597222222222219</v>
      </c>
      <c r="X1173" s="7">
        <v>56.35</v>
      </c>
      <c r="Y1173" s="7">
        <v>54.2</v>
      </c>
      <c r="Z1173" s="63">
        <v>0.41597222222222219</v>
      </c>
    </row>
    <row r="1174" spans="2:26" x14ac:dyDescent="0.3">
      <c r="D1174" s="40"/>
      <c r="E1174" s="40">
        <f>F1174-(G1174-F1174)</f>
        <v>51.974999999999994</v>
      </c>
      <c r="F1174" s="40">
        <f>AVERAGE(C1170,C1180)</f>
        <v>71.424999999999997</v>
      </c>
      <c r="G1174" s="40">
        <f>AVERAGE(C1169,C1179)</f>
        <v>90.875</v>
      </c>
      <c r="H1174" s="17"/>
      <c r="I1174" s="81"/>
      <c r="J1174" s="17"/>
      <c r="K1174" s="76"/>
      <c r="L1174" s="17"/>
      <c r="M1174" s="17"/>
      <c r="Q1174" s="30"/>
      <c r="R1174" s="73"/>
      <c r="S1174" s="30">
        <f>R1174*Q1174</f>
        <v>0</v>
      </c>
      <c r="W1174" s="63">
        <v>0.4368055555555555</v>
      </c>
      <c r="X1174" s="7">
        <v>84.05</v>
      </c>
      <c r="Y1174" s="7">
        <v>35</v>
      </c>
      <c r="Z1174" s="63">
        <v>0.4368055555555555</v>
      </c>
    </row>
    <row r="1175" spans="2:26" x14ac:dyDescent="0.3">
      <c r="C1175" s="64">
        <v>44252</v>
      </c>
      <c r="E1175" s="40">
        <f>E1174-(F1174-E1174)</f>
        <v>32.524999999999991</v>
      </c>
      <c r="F1175" s="40">
        <f>AVERAGE(F1174,E1174)</f>
        <v>61.699999999999996</v>
      </c>
      <c r="G1175" s="40"/>
      <c r="H1175" s="66">
        <v>0.4284722222222222</v>
      </c>
      <c r="I1175" s="66">
        <v>0.4381944444444445</v>
      </c>
      <c r="J1175" s="66">
        <v>0.48125000000000001</v>
      </c>
      <c r="K1175" s="66">
        <v>0.49027777777777781</v>
      </c>
      <c r="L1175" s="66">
        <v>4.7222222222222221E-2</v>
      </c>
      <c r="M1175" s="66">
        <v>0.13472222222222222</v>
      </c>
      <c r="Q1175" s="30">
        <f>S1175/R1175</f>
        <v>71.400000000000006</v>
      </c>
      <c r="R1175" s="73">
        <f>SUM(R1171:R1174)</f>
        <v>150</v>
      </c>
      <c r="S1175" s="30">
        <f>SUM(S1171:S1174)</f>
        <v>10710</v>
      </c>
      <c r="V1175" s="40"/>
      <c r="W1175" s="63">
        <v>0.45763888888888887</v>
      </c>
      <c r="X1175" s="7">
        <v>92.4</v>
      </c>
      <c r="Y1175" s="7">
        <v>30</v>
      </c>
      <c r="Z1175" s="63">
        <v>0.45763888888888887</v>
      </c>
    </row>
    <row r="1176" spans="2:26" x14ac:dyDescent="0.3">
      <c r="B1176" s="34" t="s">
        <v>68</v>
      </c>
      <c r="C1176" s="63">
        <v>0.41666666666666669</v>
      </c>
      <c r="D1176" s="63">
        <v>0.39583333333333331</v>
      </c>
      <c r="E1176" s="40">
        <f>F1176-(G1176-F1176)</f>
        <v>51.974999999999994</v>
      </c>
      <c r="F1176" s="40">
        <f>AVERAGE(C1180,C1170)</f>
        <v>71.424999999999997</v>
      </c>
      <c r="G1176" s="40">
        <f>AVERAGE(C1179,C1169)</f>
        <v>90.875</v>
      </c>
      <c r="H1176" s="7">
        <v>14776.25</v>
      </c>
      <c r="I1176" s="7">
        <v>14828.95</v>
      </c>
      <c r="J1176" s="7"/>
      <c r="K1176" s="7"/>
      <c r="L1176" s="7">
        <v>14786.05</v>
      </c>
      <c r="M1176" s="7">
        <v>14731.8</v>
      </c>
      <c r="P1176" s="50">
        <f>S1182</f>
        <v>-2790</v>
      </c>
      <c r="Q1176" s="57" t="s">
        <v>72</v>
      </c>
      <c r="S1176" s="57" t="s">
        <v>73</v>
      </c>
      <c r="T1176" s="23">
        <f>Y1174-Y1182</f>
        <v>6.3500000000000014</v>
      </c>
      <c r="U1176" s="23"/>
      <c r="V1176" s="50">
        <f>T1176*225</f>
        <v>1428.7500000000002</v>
      </c>
      <c r="W1176" s="63">
        <v>0.47847222222222219</v>
      </c>
      <c r="X1176" s="7">
        <v>82.7</v>
      </c>
      <c r="Y1176" s="7">
        <v>32.85</v>
      </c>
      <c r="Z1176" s="63">
        <v>0.47847222222222219</v>
      </c>
    </row>
    <row r="1177" spans="2:26" x14ac:dyDescent="0.3">
      <c r="B1177" s="26">
        <f>B1178+50</f>
        <v>14750</v>
      </c>
      <c r="C1177" s="30">
        <v>125.4</v>
      </c>
      <c r="D1177" s="7">
        <v>103.5</v>
      </c>
      <c r="E1177" s="40"/>
      <c r="F1177" s="30">
        <f t="shared" ref="F1177:F1182" si="71">B1177-D1177</f>
        <v>14646.5</v>
      </c>
      <c r="H1177" s="7">
        <v>98.7</v>
      </c>
      <c r="I1177" s="7">
        <v>72.150000000000006</v>
      </c>
      <c r="J1177" s="7">
        <v>82.5</v>
      </c>
      <c r="K1177" s="7">
        <v>126.95</v>
      </c>
      <c r="L1177" s="7">
        <v>83.9</v>
      </c>
      <c r="M1177" s="7">
        <v>102.3</v>
      </c>
      <c r="Q1177" s="30">
        <v>52.8</v>
      </c>
      <c r="R1177" s="73">
        <f>R1171</f>
        <v>150</v>
      </c>
      <c r="S1177" s="30">
        <f>R1177*Q1177</f>
        <v>7920</v>
      </c>
      <c r="W1177" s="63">
        <v>0.4993055555555555</v>
      </c>
      <c r="X1177" s="7">
        <v>65.900000000000006</v>
      </c>
      <c r="Y1177" s="7">
        <v>39.299999999999997</v>
      </c>
      <c r="Z1177" s="63">
        <v>0.4993055555555555</v>
      </c>
    </row>
    <row r="1178" spans="2:26" x14ac:dyDescent="0.3">
      <c r="B1178" s="26">
        <f>B1179+50</f>
        <v>14700</v>
      </c>
      <c r="C1178" s="30">
        <v>102.2</v>
      </c>
      <c r="D1178" s="7">
        <v>83.55</v>
      </c>
      <c r="E1178" s="40"/>
      <c r="F1178" s="30">
        <f t="shared" si="71"/>
        <v>14616.45</v>
      </c>
      <c r="H1178" s="7">
        <v>79.7</v>
      </c>
      <c r="I1178" s="7">
        <v>57.8</v>
      </c>
      <c r="J1178" s="7">
        <v>65.650000000000006</v>
      </c>
      <c r="K1178" s="7">
        <v>103.35</v>
      </c>
      <c r="L1178" s="7">
        <v>65.5</v>
      </c>
      <c r="M1178" s="7">
        <v>79.45</v>
      </c>
      <c r="Q1178" s="30"/>
      <c r="R1178" s="73"/>
      <c r="S1178" s="30">
        <f>R1178*Q1178</f>
        <v>0</v>
      </c>
      <c r="T1178" s="40"/>
      <c r="U1178" s="40"/>
      <c r="V1178" s="40"/>
      <c r="W1178" s="63">
        <v>0.52013888888888882</v>
      </c>
      <c r="X1178" s="7">
        <v>59.25</v>
      </c>
      <c r="Y1178" s="7">
        <v>40.799999999999997</v>
      </c>
      <c r="Z1178" s="63">
        <v>0.52013888888888882</v>
      </c>
    </row>
    <row r="1179" spans="2:26" x14ac:dyDescent="0.3">
      <c r="B1179" s="79">
        <v>14650</v>
      </c>
      <c r="C1179" s="30">
        <v>83.45</v>
      </c>
      <c r="D1179" s="7">
        <v>67.650000000000006</v>
      </c>
      <c r="E1179" s="40"/>
      <c r="F1179" s="30">
        <f t="shared" si="71"/>
        <v>14582.35</v>
      </c>
      <c r="H1179" s="7">
        <v>64.400000000000006</v>
      </c>
      <c r="I1179" s="7">
        <v>46.3</v>
      </c>
      <c r="J1179" s="7">
        <v>52.5</v>
      </c>
      <c r="K1179" s="7">
        <v>83.35</v>
      </c>
      <c r="L1179" s="7">
        <v>50.2</v>
      </c>
      <c r="M1179" s="7">
        <v>61</v>
      </c>
      <c r="Q1179" s="30"/>
      <c r="R1179" s="73"/>
      <c r="S1179" s="30">
        <f>R1179*Q1179</f>
        <v>0</v>
      </c>
      <c r="T1179" s="40"/>
      <c r="U1179" s="40"/>
      <c r="V1179" s="40"/>
      <c r="W1179" s="63">
        <v>0.54097222222222219</v>
      </c>
      <c r="X1179" s="7">
        <v>51.05</v>
      </c>
      <c r="Y1179" s="7">
        <v>42.8</v>
      </c>
      <c r="Z1179" s="63">
        <v>0.54097222222222219</v>
      </c>
    </row>
    <row r="1180" spans="2:26" x14ac:dyDescent="0.3">
      <c r="B1180" s="73">
        <f>B1179-50</f>
        <v>14600</v>
      </c>
      <c r="C1180" s="30">
        <v>67.599999999999994</v>
      </c>
      <c r="D1180" s="23">
        <v>54.35</v>
      </c>
      <c r="E1180" s="40"/>
      <c r="F1180" s="50">
        <f t="shared" si="71"/>
        <v>14545.65</v>
      </c>
      <c r="H1180" s="7">
        <v>52.05</v>
      </c>
      <c r="I1180" s="7">
        <v>37.299999999999997</v>
      </c>
      <c r="J1180" s="7">
        <v>41.65</v>
      </c>
      <c r="K1180" s="7">
        <v>67.150000000000006</v>
      </c>
      <c r="L1180" s="7">
        <v>39.85</v>
      </c>
      <c r="M1180" s="7">
        <v>46.3</v>
      </c>
      <c r="Q1180" s="30"/>
      <c r="R1180" s="73"/>
      <c r="S1180" s="30">
        <f>R1180*Q1180</f>
        <v>0</v>
      </c>
      <c r="W1180" s="63">
        <v>6.1805555555555558E-2</v>
      </c>
      <c r="X1180" s="7">
        <v>63</v>
      </c>
      <c r="Y1180" s="7">
        <v>32.4</v>
      </c>
      <c r="Z1180" s="63">
        <v>6.1805555555555558E-2</v>
      </c>
    </row>
    <row r="1181" spans="2:26" x14ac:dyDescent="0.3">
      <c r="B1181" s="72">
        <f>B1180-50</f>
        <v>14550</v>
      </c>
      <c r="C1181" s="51">
        <v>54.2</v>
      </c>
      <c r="D1181" s="30">
        <v>43.65</v>
      </c>
      <c r="E1181" s="40"/>
      <c r="F1181" s="30">
        <f t="shared" si="71"/>
        <v>14506.35</v>
      </c>
      <c r="H1181" s="7">
        <v>41.6</v>
      </c>
      <c r="I1181" s="7">
        <v>30.35</v>
      </c>
      <c r="J1181" s="7">
        <v>33.4</v>
      </c>
      <c r="K1181" s="7">
        <v>54.1</v>
      </c>
      <c r="L1181" s="7">
        <v>30.45</v>
      </c>
      <c r="M1181" s="7">
        <v>34.799999999999997</v>
      </c>
      <c r="Q1181" s="30">
        <f>S1181/R1181</f>
        <v>52.8</v>
      </c>
      <c r="R1181" s="73">
        <f>SUM(R1177:R1180)</f>
        <v>150</v>
      </c>
      <c r="S1181" s="30">
        <f>SUM(S1177:S1180)</f>
        <v>7920</v>
      </c>
      <c r="W1181" s="63">
        <v>8.2638888888888887E-2</v>
      </c>
      <c r="X1181" s="7">
        <v>51.6</v>
      </c>
      <c r="Y1181" s="7">
        <v>35.65</v>
      </c>
      <c r="Z1181" s="63">
        <v>8.2638888888888887E-2</v>
      </c>
    </row>
    <row r="1182" spans="2:26" x14ac:dyDescent="0.3">
      <c r="B1182" s="26">
        <f>B1181-50</f>
        <v>14500</v>
      </c>
      <c r="C1182" s="30">
        <v>44.85</v>
      </c>
      <c r="D1182" s="30">
        <v>35.6</v>
      </c>
      <c r="E1182" s="40"/>
      <c r="F1182" s="30">
        <f t="shared" si="71"/>
        <v>14464.4</v>
      </c>
      <c r="H1182" s="7">
        <v>34.049999999999997</v>
      </c>
      <c r="I1182" s="7">
        <v>24.8</v>
      </c>
      <c r="J1182" s="7">
        <v>26.9</v>
      </c>
      <c r="K1182" s="7">
        <v>44.1</v>
      </c>
      <c r="L1182" s="7">
        <v>24.35</v>
      </c>
      <c r="M1182" s="7">
        <v>26.3</v>
      </c>
      <c r="Q1182" s="136">
        <f>(SUM(Q1177:Q1180)-SUM(Q1171:Q1174))</f>
        <v>-18.600000000000009</v>
      </c>
      <c r="R1182" s="137"/>
      <c r="S1182" s="30">
        <f>S1181-S1175</f>
        <v>-2790</v>
      </c>
      <c r="W1182" s="63">
        <v>0.4368055555555555</v>
      </c>
      <c r="X1182" s="30">
        <v>94.3</v>
      </c>
      <c r="Y1182" s="30">
        <v>28.65</v>
      </c>
      <c r="Z1182" s="63">
        <v>0.43888888888888888</v>
      </c>
    </row>
    <row r="1194" spans="2:26" x14ac:dyDescent="0.3">
      <c r="B1194" s="40"/>
      <c r="C1194" s="50">
        <f>B1195+E1195</f>
        <v>14831.5</v>
      </c>
      <c r="D1194" s="51">
        <f>C1194+E1195</f>
        <v>14891.5</v>
      </c>
      <c r="E1194" s="21"/>
      <c r="F1194" s="21"/>
      <c r="H1194" s="52" t="str">
        <f>IF((C1203-D1203)&gt;(C1212-D1212),"LONG",IF(C1212&gt;D1210,"LONG","SHORT"))</f>
        <v>LONG</v>
      </c>
      <c r="I1194" s="138" t="s">
        <v>108</v>
      </c>
      <c r="J1194" s="139"/>
      <c r="K1194" s="140"/>
      <c r="L1194" s="53">
        <f>AVERAGE(L1195:L1196)</f>
        <v>127.15</v>
      </c>
      <c r="Q1194" s="54">
        <v>0.39166666666666666</v>
      </c>
      <c r="R1194" s="54">
        <v>0.39861111111111108</v>
      </c>
      <c r="S1194" s="54">
        <v>0.4055555555555555</v>
      </c>
      <c r="T1194" s="54">
        <v>0.41250000000000003</v>
      </c>
      <c r="U1194" s="55"/>
      <c r="W1194" s="34" t="s">
        <v>68</v>
      </c>
      <c r="X1194" s="56" t="s">
        <v>69</v>
      </c>
      <c r="Y1194" s="57" t="s">
        <v>70</v>
      </c>
      <c r="Z1194" s="34" t="s">
        <v>68</v>
      </c>
    </row>
    <row r="1195" spans="2:26" x14ac:dyDescent="0.3">
      <c r="B1195" s="50">
        <v>14771.5</v>
      </c>
      <c r="C1195" s="40"/>
      <c r="D1195" s="58"/>
      <c r="E1195" s="59">
        <f>ROUND((((B1195*F1195%)/4)/10),0)*10</f>
        <v>60</v>
      </c>
      <c r="F1195" s="51">
        <f>(100/B1195)*(F1204-F1213)</f>
        <v>1.6369359916054638</v>
      </c>
      <c r="H1195" s="60" t="s">
        <v>69</v>
      </c>
      <c r="I1195" s="61">
        <f>AVERAGE(C1212,C1201)</f>
        <v>102.15</v>
      </c>
      <c r="J1195" s="61">
        <f>AVERAGE(C1212,C1202)</f>
        <v>85.7</v>
      </c>
      <c r="K1195" s="61">
        <f>AVERAGE(C1212,C1203)</f>
        <v>71.625</v>
      </c>
      <c r="L1195" s="61">
        <f>C1201</f>
        <v>129.65</v>
      </c>
      <c r="Q1195" s="51">
        <v>14749</v>
      </c>
      <c r="R1195" s="51">
        <v>14781.75</v>
      </c>
      <c r="S1195" s="51">
        <v>14762</v>
      </c>
      <c r="T1195" s="51">
        <v>14777.5</v>
      </c>
      <c r="U1195" s="62"/>
      <c r="W1195" s="63">
        <v>0.41597222222222219</v>
      </c>
      <c r="X1195" s="30">
        <v>68.599999999999994</v>
      </c>
      <c r="Y1195" s="30">
        <v>74.650000000000006</v>
      </c>
      <c r="Z1195" s="63">
        <v>0.41597222222222219</v>
      </c>
    </row>
    <row r="1196" spans="2:26" x14ac:dyDescent="0.3">
      <c r="B1196" s="40"/>
      <c r="C1196" s="50">
        <f>B1195-E1195</f>
        <v>14711.5</v>
      </c>
      <c r="D1196" s="51">
        <f>C1196-E1195</f>
        <v>14651.5</v>
      </c>
      <c r="E1196" s="21"/>
      <c r="F1196" s="21"/>
      <c r="H1196" s="60" t="s">
        <v>70</v>
      </c>
      <c r="I1196" s="61">
        <f>AVERAGE(C1203,C1210)</f>
        <v>96.625</v>
      </c>
      <c r="J1196" s="61">
        <f>AVERAGE(C1203,C1211)</f>
        <v>82.625</v>
      </c>
      <c r="K1196" s="61">
        <f>AVERAGE(C1203,C1212)</f>
        <v>71.625</v>
      </c>
      <c r="L1196" s="61">
        <f>C1210</f>
        <v>124.65</v>
      </c>
      <c r="W1196" s="63">
        <v>0.4368055555555555</v>
      </c>
      <c r="X1196" s="30">
        <v>70.8</v>
      </c>
      <c r="Y1196" s="30">
        <v>64.75</v>
      </c>
      <c r="Z1196" s="63">
        <v>0.4368055555555555</v>
      </c>
    </row>
    <row r="1197" spans="2:26" x14ac:dyDescent="0.3">
      <c r="F1197" s="40"/>
      <c r="G1197" s="40"/>
      <c r="K1197" s="40"/>
      <c r="R1197">
        <f>ROUND((50000/62)/150,0)*75</f>
        <v>375</v>
      </c>
      <c r="W1197" s="63">
        <v>0.45763888888888887</v>
      </c>
      <c r="X1197" s="30"/>
      <c r="Y1197" s="30"/>
      <c r="Z1197" s="63">
        <v>0.45763888888888887</v>
      </c>
    </row>
    <row r="1198" spans="2:26" x14ac:dyDescent="0.3">
      <c r="B1198" s="40"/>
      <c r="P1198" s="40"/>
      <c r="W1198" s="63">
        <v>0.47847222222222219</v>
      </c>
      <c r="X1198" s="30"/>
      <c r="Y1198" s="30"/>
      <c r="Z1198" s="63">
        <v>0.47847222222222219</v>
      </c>
    </row>
    <row r="1199" spans="2:26" x14ac:dyDescent="0.3">
      <c r="C1199" s="64">
        <v>44251</v>
      </c>
      <c r="F1199" s="30">
        <f>AVERAGE(F1201,F1210)</f>
        <v>14769.349999999999</v>
      </c>
      <c r="G1199" s="65"/>
      <c r="H1199" s="66">
        <v>0.46527777777777773</v>
      </c>
      <c r="I1199" s="66">
        <v>0.48125000000000001</v>
      </c>
      <c r="J1199" s="66">
        <v>0.48402777777777778</v>
      </c>
      <c r="K1199" s="66">
        <v>0.16597222222222222</v>
      </c>
      <c r="L1199" s="66"/>
      <c r="M1199" s="66">
        <v>0.19791666666666666</v>
      </c>
      <c r="P1199" s="40"/>
      <c r="Q1199" s="132" t="s">
        <v>71</v>
      </c>
      <c r="R1199" s="132"/>
      <c r="S1199" s="132" t="s">
        <v>37</v>
      </c>
      <c r="T1199" s="132"/>
      <c r="U1199" s="69"/>
      <c r="W1199" s="63">
        <v>0.4993055555555555</v>
      </c>
      <c r="X1199" s="30"/>
      <c r="Y1199" s="30"/>
      <c r="Z1199" s="63">
        <v>0.4993055555555555</v>
      </c>
    </row>
    <row r="1200" spans="2:26" x14ac:dyDescent="0.3">
      <c r="B1200" s="34" t="s">
        <v>68</v>
      </c>
      <c r="C1200" s="63">
        <v>0.41666666666666669</v>
      </c>
      <c r="D1200" s="63">
        <v>0.39305555555555555</v>
      </c>
      <c r="H1200" s="23">
        <v>62.9</v>
      </c>
      <c r="I1200" s="23">
        <v>51.5</v>
      </c>
      <c r="J1200" s="23">
        <v>40.1</v>
      </c>
      <c r="K1200" s="23">
        <v>62.9</v>
      </c>
      <c r="L1200" s="7"/>
      <c r="M1200" s="7"/>
      <c r="Q1200" s="61">
        <f>R1200-(S1200-R1200)</f>
        <v>14226.1</v>
      </c>
      <c r="R1200" s="61">
        <v>14725</v>
      </c>
      <c r="S1200" s="61">
        <v>15223.9</v>
      </c>
      <c r="T1200" s="61">
        <f>S1200+(S1200-R1200)</f>
        <v>15722.8</v>
      </c>
      <c r="U1200" s="71"/>
      <c r="W1200" s="63">
        <v>0.52013888888888882</v>
      </c>
      <c r="X1200" s="30"/>
      <c r="Y1200" s="30"/>
      <c r="Z1200" s="63">
        <v>0.52013888888888882</v>
      </c>
    </row>
    <row r="1201" spans="2:26" x14ac:dyDescent="0.3">
      <c r="B1201" s="26">
        <f>B1202-50</f>
        <v>14700</v>
      </c>
      <c r="C1201" s="30">
        <v>129.65</v>
      </c>
      <c r="D1201" s="30">
        <v>108.3</v>
      </c>
      <c r="E1201" s="40"/>
      <c r="F1201" s="30">
        <f t="shared" ref="F1201:F1206" si="72">B1201+D1201</f>
        <v>14808.3</v>
      </c>
      <c r="H1201" s="7">
        <v>169.2</v>
      </c>
      <c r="I1201" s="7">
        <v>143.25</v>
      </c>
      <c r="J1201" s="7">
        <v>115.45</v>
      </c>
      <c r="K1201" s="7">
        <v>171</v>
      </c>
      <c r="L1201" s="7"/>
      <c r="M1201" s="7"/>
      <c r="R1201" s="40"/>
      <c r="S1201" s="40"/>
      <c r="T1201" s="40">
        <f>B1195</f>
        <v>14771.5</v>
      </c>
      <c r="U1201" s="40"/>
      <c r="W1201" s="63">
        <v>0.54097222222222219</v>
      </c>
      <c r="X1201" s="30"/>
      <c r="Y1201" s="30"/>
      <c r="Z1201" s="63">
        <v>0.54097222222222219</v>
      </c>
    </row>
    <row r="1202" spans="2:26" x14ac:dyDescent="0.3">
      <c r="B1202" s="26">
        <f>B1203-50</f>
        <v>14750</v>
      </c>
      <c r="C1202" s="30">
        <v>96.75</v>
      </c>
      <c r="D1202" s="30">
        <v>79.3</v>
      </c>
      <c r="E1202" s="40"/>
      <c r="F1202" s="30">
        <f t="shared" si="72"/>
        <v>14829.3</v>
      </c>
      <c r="H1202" s="7">
        <v>129.4</v>
      </c>
      <c r="I1202" s="7">
        <v>107.3</v>
      </c>
      <c r="J1202" s="7">
        <v>104.75</v>
      </c>
      <c r="K1202" s="7">
        <v>130</v>
      </c>
      <c r="L1202" s="7"/>
      <c r="M1202" s="7"/>
      <c r="T1202" s="40">
        <f>C1194</f>
        <v>14831.5</v>
      </c>
      <c r="U1202" s="40"/>
      <c r="W1202" s="63">
        <v>6.1805555555555558E-2</v>
      </c>
      <c r="X1202" s="30"/>
      <c r="Y1202" s="30"/>
      <c r="Z1202" s="63">
        <v>6.1805555555555558E-2</v>
      </c>
    </row>
    <row r="1203" spans="2:26" x14ac:dyDescent="0.3">
      <c r="B1203" s="79">
        <v>14800</v>
      </c>
      <c r="C1203" s="30">
        <v>68.599999999999994</v>
      </c>
      <c r="D1203" s="7">
        <v>56</v>
      </c>
      <c r="E1203" s="40"/>
      <c r="F1203" s="30">
        <f t="shared" si="72"/>
        <v>14856</v>
      </c>
      <c r="H1203" s="7">
        <v>94.45</v>
      </c>
      <c r="I1203" s="7">
        <v>76</v>
      </c>
      <c r="J1203" s="7">
        <v>74.05</v>
      </c>
      <c r="K1203" s="7">
        <v>93</v>
      </c>
      <c r="L1203" s="7"/>
      <c r="M1203" s="7"/>
      <c r="Q1203" s="133" t="s">
        <v>72</v>
      </c>
      <c r="R1203" s="134"/>
      <c r="S1203" s="135"/>
      <c r="T1203" s="40">
        <f>D1194</f>
        <v>14891.5</v>
      </c>
      <c r="U1203" s="40"/>
      <c r="W1203" s="63">
        <v>8.2638888888888887E-2</v>
      </c>
      <c r="X1203" s="30"/>
      <c r="Y1203" s="30"/>
      <c r="Z1203" s="63">
        <v>8.2638888888888887E-2</v>
      </c>
    </row>
    <row r="1204" spans="2:26" x14ac:dyDescent="0.3">
      <c r="B1204" s="26">
        <f>B1203+50</f>
        <v>14850</v>
      </c>
      <c r="C1204" s="51">
        <v>46.6</v>
      </c>
      <c r="D1204" s="23">
        <v>37.950000000000003</v>
      </c>
      <c r="E1204" s="40"/>
      <c r="F1204" s="50">
        <f t="shared" si="72"/>
        <v>14887.95</v>
      </c>
      <c r="H1204" s="7">
        <v>65</v>
      </c>
      <c r="I1204" s="7">
        <v>51.1</v>
      </c>
      <c r="J1204" s="7">
        <v>38.049999999999997</v>
      </c>
      <c r="K1204" s="7">
        <v>63.05</v>
      </c>
      <c r="L1204" s="7"/>
      <c r="M1204" s="7"/>
      <c r="Q1204" s="30">
        <v>65</v>
      </c>
      <c r="R1204" s="73">
        <v>150</v>
      </c>
      <c r="S1204" s="30">
        <f>R1204*Q1204</f>
        <v>9750</v>
      </c>
    </row>
    <row r="1205" spans="2:26" x14ac:dyDescent="0.3">
      <c r="B1205" s="72">
        <f>B1204+50</f>
        <v>14900</v>
      </c>
      <c r="C1205" s="30">
        <v>30.5</v>
      </c>
      <c r="D1205" s="7">
        <v>24.25</v>
      </c>
      <c r="E1205" s="40"/>
      <c r="F1205" s="30">
        <f t="shared" si="72"/>
        <v>14924.25</v>
      </c>
      <c r="H1205" s="7">
        <v>42.8</v>
      </c>
      <c r="I1205" s="7">
        <v>32.299999999999997</v>
      </c>
      <c r="J1205" s="7">
        <v>23.9</v>
      </c>
      <c r="K1205" s="7">
        <v>40.25</v>
      </c>
      <c r="L1205" s="7"/>
      <c r="M1205" s="7"/>
      <c r="Q1205" s="30"/>
      <c r="R1205" s="73"/>
      <c r="S1205" s="30">
        <f>R1205*Q1205</f>
        <v>0</v>
      </c>
      <c r="W1205" s="34" t="s">
        <v>68</v>
      </c>
      <c r="X1205" s="56" t="s">
        <v>69</v>
      </c>
      <c r="Y1205" s="57" t="s">
        <v>70</v>
      </c>
      <c r="Z1205" s="34" t="s">
        <v>68</v>
      </c>
    </row>
    <row r="1206" spans="2:26" x14ac:dyDescent="0.3">
      <c r="B1206" s="26">
        <f>B1205+50</f>
        <v>14950</v>
      </c>
      <c r="C1206" s="30">
        <v>19.2</v>
      </c>
      <c r="D1206" s="30">
        <v>15.2</v>
      </c>
      <c r="E1206" s="40"/>
      <c r="F1206" s="30">
        <f t="shared" si="72"/>
        <v>14965.2</v>
      </c>
      <c r="H1206" s="7">
        <v>26.2</v>
      </c>
      <c r="I1206" s="7">
        <v>19.45</v>
      </c>
      <c r="J1206" s="7">
        <v>14.3</v>
      </c>
      <c r="K1206" s="7">
        <v>25</v>
      </c>
      <c r="L1206" s="7"/>
      <c r="M1206" s="7"/>
      <c r="Q1206" s="30"/>
      <c r="R1206" s="73"/>
      <c r="S1206" s="30">
        <f>R1206*Q1206</f>
        <v>0</v>
      </c>
      <c r="W1206" s="63">
        <v>0.41597222222222219</v>
      </c>
      <c r="X1206" s="7">
        <v>46.6</v>
      </c>
      <c r="Y1206" s="7">
        <v>42.95</v>
      </c>
      <c r="Z1206" s="63">
        <v>0.41597222222222219</v>
      </c>
    </row>
    <row r="1207" spans="2:26" x14ac:dyDescent="0.3">
      <c r="D1207" s="40"/>
      <c r="E1207" s="40">
        <f>F1207-(G1207-F1207)</f>
        <v>40.099999999999994</v>
      </c>
      <c r="F1207" s="40">
        <f>AVERAGE(C1203,C1213)</f>
        <v>62.9</v>
      </c>
      <c r="G1207" s="40">
        <f>AVERAGE(C1202,C1212)</f>
        <v>85.7</v>
      </c>
      <c r="H1207" s="17"/>
      <c r="I1207" s="81"/>
      <c r="J1207" s="17"/>
      <c r="K1207" s="76"/>
      <c r="L1207" s="17"/>
      <c r="M1207" s="17"/>
      <c r="Q1207" s="30"/>
      <c r="R1207" s="73"/>
      <c r="S1207" s="30">
        <f>R1207*Q1207</f>
        <v>0</v>
      </c>
      <c r="W1207" s="63">
        <v>0.4368055555555555</v>
      </c>
      <c r="X1207" s="7">
        <v>48</v>
      </c>
      <c r="Y1207" s="7">
        <v>37.200000000000003</v>
      </c>
      <c r="Z1207" s="63">
        <v>0.4368055555555555</v>
      </c>
    </row>
    <row r="1208" spans="2:26" x14ac:dyDescent="0.3">
      <c r="C1208" s="64">
        <v>44252</v>
      </c>
      <c r="E1208" s="40">
        <f>E1207-(F1207-E1207)</f>
        <v>17.29999999999999</v>
      </c>
      <c r="F1208" s="40">
        <f>AVERAGE(F1207,E1207)</f>
        <v>51.5</v>
      </c>
      <c r="G1208" s="40"/>
      <c r="H1208" s="66">
        <v>0.46527777777777773</v>
      </c>
      <c r="I1208" s="66">
        <v>0.48125000000000001</v>
      </c>
      <c r="J1208" s="66">
        <v>0.48402777777777778</v>
      </c>
      <c r="K1208" s="66">
        <v>0.16597222222222222</v>
      </c>
      <c r="L1208" s="66"/>
      <c r="M1208" s="66"/>
      <c r="Q1208" s="30">
        <f>S1208/R1208</f>
        <v>65</v>
      </c>
      <c r="R1208" s="73">
        <f>SUM(R1204:R1207)</f>
        <v>150</v>
      </c>
      <c r="S1208" s="30">
        <f>SUM(S1204:S1207)</f>
        <v>9750</v>
      </c>
      <c r="V1208" s="40"/>
      <c r="W1208" s="63">
        <v>0.45763888888888887</v>
      </c>
      <c r="X1208" s="7"/>
      <c r="Y1208" s="7"/>
      <c r="Z1208" s="63">
        <v>0.45763888888888887</v>
      </c>
    </row>
    <row r="1209" spans="2:26" x14ac:dyDescent="0.3">
      <c r="B1209" s="34" t="s">
        <v>68</v>
      </c>
      <c r="C1209" s="63">
        <v>0.41666666666666669</v>
      </c>
      <c r="D1209" s="63">
        <v>0.41319444444444442</v>
      </c>
      <c r="E1209" s="40"/>
      <c r="F1209" s="40"/>
      <c r="G1209" s="40"/>
      <c r="H1209" s="7"/>
      <c r="I1209" s="7"/>
      <c r="J1209" s="7"/>
      <c r="K1209" s="7"/>
      <c r="L1209" s="7"/>
      <c r="M1209" s="7"/>
      <c r="P1209" s="50">
        <f>S1215</f>
        <v>-3360</v>
      </c>
      <c r="Q1209" s="57" t="s">
        <v>72</v>
      </c>
      <c r="S1209" s="57" t="s">
        <v>73</v>
      </c>
      <c r="T1209" s="23">
        <f>((X1207+Y1207)-(X1215+Y1215))</f>
        <v>-20.649999999999991</v>
      </c>
      <c r="U1209" s="23"/>
      <c r="V1209" s="50">
        <f>T1209*225</f>
        <v>-4646.2499999999982</v>
      </c>
      <c r="W1209" s="63">
        <v>0.47847222222222219</v>
      </c>
      <c r="X1209" s="7"/>
      <c r="Y1209" s="7"/>
      <c r="Z1209" s="63">
        <v>0.47847222222222219</v>
      </c>
    </row>
    <row r="1210" spans="2:26" x14ac:dyDescent="0.3">
      <c r="B1210" s="26">
        <f>B1211+50</f>
        <v>14850</v>
      </c>
      <c r="C1210" s="30">
        <v>124.65</v>
      </c>
      <c r="D1210" s="7">
        <v>119.6</v>
      </c>
      <c r="E1210" s="40"/>
      <c r="F1210" s="30">
        <f t="shared" ref="F1210:F1215" si="73">B1210-D1210</f>
        <v>14730.4</v>
      </c>
      <c r="H1210" s="7">
        <v>79.7</v>
      </c>
      <c r="I1210" s="7">
        <v>102.65</v>
      </c>
      <c r="J1210" s="7">
        <v>131.25</v>
      </c>
      <c r="K1210" s="7">
        <v>75.400000000000006</v>
      </c>
      <c r="L1210" s="7"/>
      <c r="M1210" s="7"/>
      <c r="Q1210" s="30">
        <v>42.6</v>
      </c>
      <c r="R1210" s="73">
        <f>R1204</f>
        <v>150</v>
      </c>
      <c r="S1210" s="30">
        <f>R1210*Q1210</f>
        <v>6390</v>
      </c>
      <c r="W1210" s="63">
        <v>0.4993055555555555</v>
      </c>
      <c r="X1210" s="7"/>
      <c r="Y1210" s="7"/>
      <c r="Z1210" s="63">
        <v>0.4993055555555555</v>
      </c>
    </row>
    <row r="1211" spans="2:26" x14ac:dyDescent="0.3">
      <c r="B1211" s="26">
        <f>B1212+50</f>
        <v>14800</v>
      </c>
      <c r="C1211" s="30">
        <v>96.65</v>
      </c>
      <c r="D1211" s="7">
        <v>92.15</v>
      </c>
      <c r="E1211" s="40"/>
      <c r="F1211" s="30">
        <f t="shared" si="73"/>
        <v>14707.85</v>
      </c>
      <c r="H1211" s="7">
        <v>59.4</v>
      </c>
      <c r="I1211" s="7">
        <v>76.95</v>
      </c>
      <c r="J1211" s="7">
        <v>100.8</v>
      </c>
      <c r="K1211" s="7">
        <v>54</v>
      </c>
      <c r="L1211" s="7"/>
      <c r="M1211" s="7"/>
      <c r="Q1211" s="30"/>
      <c r="R1211" s="73"/>
      <c r="S1211" s="30">
        <f>R1211*Q1211</f>
        <v>0</v>
      </c>
      <c r="T1211" s="40"/>
      <c r="U1211" s="40"/>
      <c r="V1211" s="40"/>
      <c r="W1211" s="63">
        <v>0.52013888888888882</v>
      </c>
      <c r="X1211" s="7"/>
      <c r="Y1211" s="7"/>
      <c r="Z1211" s="63">
        <v>0.52013888888888882</v>
      </c>
    </row>
    <row r="1212" spans="2:26" x14ac:dyDescent="0.3">
      <c r="B1212" s="79">
        <v>14750</v>
      </c>
      <c r="C1212" s="30">
        <v>74.650000000000006</v>
      </c>
      <c r="D1212" s="7">
        <v>70.7</v>
      </c>
      <c r="E1212" s="40"/>
      <c r="F1212" s="30">
        <f t="shared" si="73"/>
        <v>14679.3</v>
      </c>
      <c r="H1212" s="7">
        <v>44.65</v>
      </c>
      <c r="I1212" s="7">
        <v>58.05</v>
      </c>
      <c r="J1212" s="7">
        <v>77.849999999999994</v>
      </c>
      <c r="K1212" s="7">
        <v>41.15</v>
      </c>
      <c r="L1212" s="7"/>
      <c r="M1212" s="7"/>
      <c r="Q1212" s="30"/>
      <c r="R1212" s="73"/>
      <c r="S1212" s="30">
        <f>R1212*Q1212</f>
        <v>0</v>
      </c>
      <c r="T1212" s="40"/>
      <c r="U1212" s="40"/>
      <c r="V1212" s="40"/>
      <c r="W1212" s="63">
        <v>0.54097222222222219</v>
      </c>
      <c r="X1212" s="7"/>
      <c r="Y1212" s="7"/>
      <c r="Z1212" s="63">
        <v>0.54097222222222219</v>
      </c>
    </row>
    <row r="1213" spans="2:26" x14ac:dyDescent="0.3">
      <c r="B1213" s="73">
        <f>B1212-50</f>
        <v>14700</v>
      </c>
      <c r="C1213" s="30">
        <v>57.2</v>
      </c>
      <c r="D1213" s="23">
        <v>53.85</v>
      </c>
      <c r="E1213" s="40"/>
      <c r="F1213" s="50">
        <f t="shared" si="73"/>
        <v>14646.15</v>
      </c>
      <c r="H1213" s="7">
        <v>34.049999999999997</v>
      </c>
      <c r="I1213" s="7">
        <v>44.05</v>
      </c>
      <c r="J1213" s="7">
        <v>59.3</v>
      </c>
      <c r="K1213" s="7">
        <v>31</v>
      </c>
      <c r="L1213" s="7"/>
      <c r="M1213" s="7"/>
      <c r="Q1213" s="30"/>
      <c r="R1213" s="73"/>
      <c r="S1213" s="30">
        <f>R1213*Q1213</f>
        <v>0</v>
      </c>
      <c r="W1213" s="63">
        <v>6.1805555555555558E-2</v>
      </c>
      <c r="X1213" s="7"/>
      <c r="Y1213" s="7"/>
      <c r="Z1213" s="63">
        <v>6.1805555555555558E-2</v>
      </c>
    </row>
    <row r="1214" spans="2:26" x14ac:dyDescent="0.3">
      <c r="B1214" s="72">
        <f>B1213-50</f>
        <v>14650</v>
      </c>
      <c r="C1214" s="51">
        <v>42.95</v>
      </c>
      <c r="D1214" s="30">
        <v>40.700000000000003</v>
      </c>
      <c r="E1214" s="40"/>
      <c r="F1214" s="30">
        <f t="shared" si="73"/>
        <v>14609.3</v>
      </c>
      <c r="H1214" s="7">
        <v>26.15</v>
      </c>
      <c r="I1214" s="7">
        <v>33.6</v>
      </c>
      <c r="J1214" s="7">
        <v>45.55</v>
      </c>
      <c r="K1214" s="7">
        <v>23</v>
      </c>
      <c r="L1214" s="7"/>
      <c r="M1214" s="7"/>
      <c r="Q1214" s="30">
        <f>S1214/R1214</f>
        <v>42.6</v>
      </c>
      <c r="R1214" s="73">
        <f>SUM(R1210:R1213)</f>
        <v>150</v>
      </c>
      <c r="S1214" s="30">
        <f>SUM(S1210:S1213)</f>
        <v>6390</v>
      </c>
      <c r="W1214" s="63">
        <v>8.2638888888888887E-2</v>
      </c>
      <c r="X1214" s="7"/>
      <c r="Y1214" s="7"/>
      <c r="Z1214" s="63">
        <v>8.2638888888888887E-2</v>
      </c>
    </row>
    <row r="1215" spans="2:26" x14ac:dyDescent="0.3">
      <c r="B1215" s="26">
        <f>B1214-50</f>
        <v>14600</v>
      </c>
      <c r="C1215" s="30">
        <v>32.549999999999997</v>
      </c>
      <c r="D1215" s="30">
        <v>30.3</v>
      </c>
      <c r="E1215" s="40"/>
      <c r="F1215" s="30">
        <f t="shared" si="73"/>
        <v>14569.7</v>
      </c>
      <c r="H1215" s="7">
        <v>20.2</v>
      </c>
      <c r="I1215" s="7">
        <v>25.85</v>
      </c>
      <c r="J1215" s="7">
        <v>34.950000000000003</v>
      </c>
      <c r="K1215" s="7">
        <v>17.850000000000001</v>
      </c>
      <c r="L1215" s="7"/>
      <c r="M1215" s="7"/>
      <c r="Q1215" s="136">
        <f>(SUM(Q1210:Q1213)-SUM(Q1204:Q1207))</f>
        <v>-22.4</v>
      </c>
      <c r="R1215" s="137"/>
      <c r="S1215" s="30">
        <f>S1214-S1208</f>
        <v>-3360</v>
      </c>
      <c r="W1215" s="63">
        <v>0.46527777777777773</v>
      </c>
      <c r="X1215" s="30">
        <v>62.9</v>
      </c>
      <c r="Y1215" s="30">
        <v>42.95</v>
      </c>
      <c r="Z1215" s="63">
        <v>0.13541666666666666</v>
      </c>
    </row>
    <row r="1227" spans="2:26" x14ac:dyDescent="0.3">
      <c r="B1227" s="40"/>
      <c r="C1227" s="50">
        <f>B1228+E1228</f>
        <v>15272</v>
      </c>
      <c r="D1227" s="51">
        <f>C1227+E1228</f>
        <v>15392</v>
      </c>
      <c r="E1227" s="21"/>
      <c r="F1227" s="21"/>
      <c r="H1227" s="52" t="str">
        <f>IF((C1236-D1236)&gt;(C1245-D1245),"LONG",IF(C1245&gt;D1243,"LONG","SHORT"))</f>
        <v>SHORT</v>
      </c>
      <c r="I1227" s="138" t="s">
        <v>109</v>
      </c>
      <c r="J1227" s="139"/>
      <c r="K1227" s="140"/>
      <c r="L1227" s="53">
        <f>AVERAGE(L1228:L1229)</f>
        <v>166.05</v>
      </c>
      <c r="Q1227" s="54">
        <v>0.39166666666666666</v>
      </c>
      <c r="R1227" s="54">
        <v>0.39861111111111108</v>
      </c>
      <c r="S1227" s="54">
        <v>0.4055555555555555</v>
      </c>
      <c r="T1227" s="54">
        <v>0.41250000000000003</v>
      </c>
      <c r="U1227" s="55"/>
      <c r="W1227" s="34" t="s">
        <v>68</v>
      </c>
      <c r="X1227" s="56" t="s">
        <v>69</v>
      </c>
      <c r="Y1227" s="57" t="s">
        <v>70</v>
      </c>
      <c r="Z1227" s="34" t="s">
        <v>68</v>
      </c>
    </row>
    <row r="1228" spans="2:26" x14ac:dyDescent="0.3">
      <c r="B1228" s="50">
        <v>15152</v>
      </c>
      <c r="C1228" s="40"/>
      <c r="D1228" s="58"/>
      <c r="E1228" s="59">
        <f>ROUND((((B1228*F1228%)/4)/10),0)*10</f>
        <v>120</v>
      </c>
      <c r="F1228" s="51">
        <f>(100/B1228)*(F1237-F1246)</f>
        <v>3.2451161562829918</v>
      </c>
      <c r="H1228" s="60" t="s">
        <v>69</v>
      </c>
      <c r="I1228" s="61">
        <f>AVERAGE(C1245,C1234)</f>
        <v>145.67500000000001</v>
      </c>
      <c r="J1228" s="61">
        <f>AVERAGE(C1245,C1235)</f>
        <v>132.57499999999999</v>
      </c>
      <c r="K1228" s="61">
        <f>AVERAGE(C1245,C1236)</f>
        <v>121.55</v>
      </c>
      <c r="L1228" s="61">
        <f>C1234</f>
        <v>174.35</v>
      </c>
      <c r="Q1228" s="51">
        <v>15146</v>
      </c>
      <c r="R1228" s="51">
        <v>15168</v>
      </c>
      <c r="S1228" s="51"/>
      <c r="T1228" s="51"/>
      <c r="U1228" s="62"/>
      <c r="W1228" s="63">
        <v>0.41597222222222219</v>
      </c>
      <c r="X1228" s="30">
        <f>126.1</f>
        <v>126.1</v>
      </c>
      <c r="Y1228" s="30">
        <f>117</f>
        <v>117</v>
      </c>
      <c r="Z1228" s="63">
        <v>0.41597222222222219</v>
      </c>
    </row>
    <row r="1229" spans="2:26" x14ac:dyDescent="0.3">
      <c r="B1229" s="40"/>
      <c r="C1229" s="50">
        <f>B1228-E1228</f>
        <v>15032</v>
      </c>
      <c r="D1229" s="51">
        <f>C1229-E1228</f>
        <v>14912</v>
      </c>
      <c r="E1229" s="21"/>
      <c r="F1229" s="21"/>
      <c r="H1229" s="60" t="s">
        <v>70</v>
      </c>
      <c r="I1229" s="61">
        <f>AVERAGE(C1236,C1243)</f>
        <v>141.92500000000001</v>
      </c>
      <c r="J1229" s="61">
        <f>AVERAGE(C1236,C1244)</f>
        <v>130.82499999999999</v>
      </c>
      <c r="K1229" s="61">
        <f>AVERAGE(C1236,C1245)</f>
        <v>121.55</v>
      </c>
      <c r="L1229" s="61">
        <f>C1243</f>
        <v>157.75</v>
      </c>
      <c r="W1229" s="63">
        <v>0.4368055555555555</v>
      </c>
      <c r="X1229" s="30">
        <v>120</v>
      </c>
      <c r="Y1229" s="30">
        <v>118.25</v>
      </c>
      <c r="Z1229" s="63">
        <v>0.4368055555555555</v>
      </c>
    </row>
    <row r="1230" spans="2:26" x14ac:dyDescent="0.3">
      <c r="F1230" s="40"/>
      <c r="G1230" s="40"/>
      <c r="K1230" s="40"/>
      <c r="R1230">
        <f>ROUND((50000/89)/300,0)*75</f>
        <v>150</v>
      </c>
      <c r="W1230" s="63">
        <v>0.45763888888888887</v>
      </c>
      <c r="X1230" s="30">
        <v>118.4</v>
      </c>
      <c r="Y1230" s="30">
        <v>115.5</v>
      </c>
      <c r="Z1230" s="63">
        <v>0.45763888888888887</v>
      </c>
    </row>
    <row r="1231" spans="2:26" x14ac:dyDescent="0.3">
      <c r="B1231" s="40"/>
      <c r="P1231" s="40"/>
      <c r="W1231" s="63">
        <v>0.47847222222222219</v>
      </c>
      <c r="X1231" s="30">
        <v>116.8</v>
      </c>
      <c r="Y1231" s="30">
        <v>112.6</v>
      </c>
      <c r="Z1231" s="63">
        <v>0.47847222222222219</v>
      </c>
    </row>
    <row r="1232" spans="2:26" x14ac:dyDescent="0.3">
      <c r="C1232" s="64">
        <v>44252</v>
      </c>
      <c r="F1232" s="30">
        <f>AVERAGE(F1234,F1243)</f>
        <v>15161.9</v>
      </c>
      <c r="G1232" s="65"/>
      <c r="H1232" s="66">
        <v>0.4861111111111111</v>
      </c>
      <c r="I1232" s="66">
        <v>0.52222222222222225</v>
      </c>
      <c r="J1232" s="66"/>
      <c r="K1232" s="66"/>
      <c r="L1232" s="66"/>
      <c r="M1232" s="66">
        <v>0.13541666666666666</v>
      </c>
      <c r="P1232" s="40"/>
      <c r="Q1232" s="132" t="s">
        <v>71</v>
      </c>
      <c r="R1232" s="132"/>
      <c r="S1232" s="132" t="s">
        <v>37</v>
      </c>
      <c r="T1232" s="132"/>
      <c r="U1232" s="69"/>
      <c r="W1232" s="63">
        <v>0.4993055555555555</v>
      </c>
      <c r="X1232" s="30">
        <v>100</v>
      </c>
      <c r="Y1232" s="30">
        <v>132.6</v>
      </c>
      <c r="Z1232" s="63">
        <v>0.4993055555555555</v>
      </c>
    </row>
    <row r="1233" spans="2:26" x14ac:dyDescent="0.3">
      <c r="B1233" s="34" t="s">
        <v>68</v>
      </c>
      <c r="C1233" s="63">
        <v>0.41666666666666669</v>
      </c>
      <c r="D1233" s="63">
        <v>0.38611111111111113</v>
      </c>
      <c r="H1233" s="7">
        <v>15109.35</v>
      </c>
      <c r="I1233" s="7">
        <v>15115</v>
      </c>
      <c r="J1233" s="7"/>
      <c r="K1233" s="7"/>
      <c r="L1233" s="7"/>
      <c r="M1233" s="7">
        <v>15098.45</v>
      </c>
      <c r="Q1233" s="61">
        <f>R1233-(S1233-R1233)</f>
        <v>14374.5</v>
      </c>
      <c r="R1233" s="61">
        <v>14725</v>
      </c>
      <c r="S1233" s="61">
        <v>15075.5</v>
      </c>
      <c r="T1233" s="61">
        <f>S1233+(S1233-R1233)</f>
        <v>15426</v>
      </c>
      <c r="U1233" s="71"/>
      <c r="W1233" s="63">
        <v>0.52013888888888882</v>
      </c>
      <c r="X1233" s="30">
        <v>98.4</v>
      </c>
      <c r="Y1233" s="30">
        <v>125.25</v>
      </c>
      <c r="Z1233" s="63">
        <v>0.52013888888888882</v>
      </c>
    </row>
    <row r="1234" spans="2:26" x14ac:dyDescent="0.3">
      <c r="B1234" s="26">
        <f>B1235-50</f>
        <v>15150</v>
      </c>
      <c r="C1234" s="30">
        <v>174.35</v>
      </c>
      <c r="D1234" s="7">
        <v>165.8</v>
      </c>
      <c r="E1234" s="40"/>
      <c r="F1234" s="30">
        <f t="shared" ref="F1234:F1239" si="74">B1234+D1234</f>
        <v>15315.8</v>
      </c>
      <c r="H1234" s="7">
        <v>145.55000000000001</v>
      </c>
      <c r="I1234" s="7">
        <v>147.69999999999999</v>
      </c>
      <c r="J1234" s="7"/>
      <c r="K1234" s="7"/>
      <c r="L1234" s="7"/>
      <c r="M1234" s="7">
        <v>150.55000000000001</v>
      </c>
      <c r="R1234" s="40"/>
      <c r="S1234" s="40"/>
      <c r="T1234" s="40">
        <f>B1228</f>
        <v>15152</v>
      </c>
      <c r="U1234" s="40"/>
      <c r="W1234" s="63">
        <v>0.54097222222222219</v>
      </c>
      <c r="X1234" s="30">
        <v>103</v>
      </c>
      <c r="Y1234" s="30">
        <v>117.15</v>
      </c>
      <c r="Z1234" s="63">
        <v>0.54097222222222219</v>
      </c>
    </row>
    <row r="1235" spans="2:26" x14ac:dyDescent="0.3">
      <c r="B1235" s="26">
        <f>B1236-50</f>
        <v>15200</v>
      </c>
      <c r="C1235" s="30">
        <v>148.15</v>
      </c>
      <c r="D1235" s="7">
        <v>143.80000000000001</v>
      </c>
      <c r="E1235" s="40"/>
      <c r="F1235" s="30">
        <f t="shared" si="74"/>
        <v>15343.8</v>
      </c>
      <c r="H1235" s="7">
        <v>123</v>
      </c>
      <c r="I1235" s="7">
        <v>122.95</v>
      </c>
      <c r="J1235" s="7"/>
      <c r="K1235" s="7"/>
      <c r="L1235" s="7"/>
      <c r="M1235" s="7">
        <v>125.6</v>
      </c>
      <c r="T1235" s="40"/>
      <c r="U1235" s="40"/>
      <c r="W1235" s="63">
        <v>6.1805555555555558E-2</v>
      </c>
      <c r="X1235" s="30">
        <v>108.65</v>
      </c>
      <c r="Y1235" s="30">
        <v>110.95</v>
      </c>
      <c r="Z1235" s="63">
        <v>6.1805555555555558E-2</v>
      </c>
    </row>
    <row r="1236" spans="2:26" x14ac:dyDescent="0.3">
      <c r="B1236" s="79">
        <v>15250</v>
      </c>
      <c r="C1236" s="30">
        <v>126.1</v>
      </c>
      <c r="D1236" s="7">
        <v>122</v>
      </c>
      <c r="E1236" s="40"/>
      <c r="F1236" s="30">
        <f t="shared" si="74"/>
        <v>15372</v>
      </c>
      <c r="H1236" s="7">
        <v>102.4</v>
      </c>
      <c r="I1236" s="7">
        <v>102.4</v>
      </c>
      <c r="J1236" s="7"/>
      <c r="K1236" s="7"/>
      <c r="L1236" s="7"/>
      <c r="M1236" s="7">
        <v>103.5</v>
      </c>
      <c r="Q1236" s="133" t="s">
        <v>72</v>
      </c>
      <c r="R1236" s="134"/>
      <c r="S1236" s="135"/>
      <c r="T1236" s="40"/>
      <c r="U1236" s="40"/>
      <c r="W1236" s="63">
        <v>8.2638888888888887E-2</v>
      </c>
      <c r="X1236" s="30">
        <v>108.95</v>
      </c>
      <c r="Y1236" s="30">
        <v>109.4</v>
      </c>
      <c r="Z1236" s="63">
        <v>8.2638888888888887E-2</v>
      </c>
    </row>
    <row r="1237" spans="2:26" x14ac:dyDescent="0.3">
      <c r="B1237" s="26">
        <f>B1236+50</f>
        <v>15300</v>
      </c>
      <c r="C1237" s="30">
        <v>105.75</v>
      </c>
      <c r="D1237" s="23">
        <v>104.3</v>
      </c>
      <c r="E1237" s="40"/>
      <c r="F1237" s="50">
        <f t="shared" si="74"/>
        <v>15404.3</v>
      </c>
      <c r="H1237" s="7">
        <v>84.35</v>
      </c>
      <c r="I1237" s="7">
        <v>84</v>
      </c>
      <c r="J1237" s="7"/>
      <c r="K1237" s="7"/>
      <c r="L1237" s="7"/>
      <c r="M1237" s="7">
        <v>85.45</v>
      </c>
      <c r="Q1237" s="30">
        <v>87.8</v>
      </c>
      <c r="R1237" s="73">
        <v>75</v>
      </c>
      <c r="S1237" s="30">
        <f>R1237*Q1237</f>
        <v>6585</v>
      </c>
    </row>
    <row r="1238" spans="2:26" x14ac:dyDescent="0.3">
      <c r="B1238" s="72">
        <f>B1237+50</f>
        <v>15350</v>
      </c>
      <c r="C1238" s="30">
        <v>88.1</v>
      </c>
      <c r="D1238" s="30">
        <v>86.9</v>
      </c>
      <c r="E1238" s="40"/>
      <c r="F1238" s="30">
        <f t="shared" si="74"/>
        <v>15436.9</v>
      </c>
      <c r="H1238" s="7">
        <v>68.45</v>
      </c>
      <c r="I1238" s="7">
        <v>68.3</v>
      </c>
      <c r="J1238" s="7"/>
      <c r="K1238" s="7"/>
      <c r="L1238" s="7"/>
      <c r="M1238" s="7">
        <v>69.5</v>
      </c>
      <c r="Q1238" s="30">
        <v>87.8</v>
      </c>
      <c r="R1238" s="73">
        <v>75</v>
      </c>
      <c r="S1238" s="30">
        <f>R1238*Q1238</f>
        <v>6585</v>
      </c>
      <c r="W1238" s="34" t="s">
        <v>68</v>
      </c>
      <c r="X1238" s="56" t="s">
        <v>69</v>
      </c>
      <c r="Y1238" s="57" t="s">
        <v>70</v>
      </c>
      <c r="Z1238" s="34" t="s">
        <v>68</v>
      </c>
    </row>
    <row r="1239" spans="2:26" x14ac:dyDescent="0.3">
      <c r="B1239" s="26">
        <f>B1238+50</f>
        <v>15400</v>
      </c>
      <c r="C1239" s="51">
        <v>72.55</v>
      </c>
      <c r="D1239" s="30">
        <v>74.150000000000006</v>
      </c>
      <c r="E1239" s="40"/>
      <c r="F1239" s="30">
        <f t="shared" si="74"/>
        <v>15474.15</v>
      </c>
      <c r="H1239" s="7">
        <v>55.15</v>
      </c>
      <c r="I1239" s="7">
        <v>55.45</v>
      </c>
      <c r="J1239" s="7"/>
      <c r="K1239" s="7"/>
      <c r="L1239" s="7"/>
      <c r="M1239" s="7">
        <v>55.3</v>
      </c>
      <c r="Q1239" s="30"/>
      <c r="R1239" s="73"/>
      <c r="S1239" s="30">
        <f>R1239*Q1239</f>
        <v>0</v>
      </c>
      <c r="W1239" s="63">
        <v>0.41597222222222219</v>
      </c>
      <c r="X1239" s="7">
        <v>72.55</v>
      </c>
      <c r="Y1239" s="7">
        <v>83.95</v>
      </c>
      <c r="Z1239" s="63">
        <v>0.41597222222222219</v>
      </c>
    </row>
    <row r="1240" spans="2:26" x14ac:dyDescent="0.3">
      <c r="D1240" s="40"/>
      <c r="E1240" s="40">
        <f>F1240-(G1240-F1240)</f>
        <v>69.600000000000009</v>
      </c>
      <c r="F1240" s="40">
        <f>AVERAGE(C1238,C1247)</f>
        <v>86.025000000000006</v>
      </c>
      <c r="G1240" s="40">
        <f>AVERAGE(C1237,C1246)</f>
        <v>102.45</v>
      </c>
      <c r="H1240" s="17"/>
      <c r="I1240" s="81"/>
      <c r="J1240" s="17"/>
      <c r="K1240" s="76"/>
      <c r="L1240" s="17"/>
      <c r="M1240" s="17"/>
      <c r="Q1240" s="30"/>
      <c r="R1240" s="73"/>
      <c r="S1240" s="30">
        <f>R1240*Q1240</f>
        <v>0</v>
      </c>
      <c r="W1240" s="63">
        <v>0.4368055555555555</v>
      </c>
      <c r="X1240" s="7">
        <v>67.75</v>
      </c>
      <c r="Y1240" s="7">
        <v>85.45</v>
      </c>
      <c r="Z1240" s="63">
        <v>0.4368055555555555</v>
      </c>
    </row>
    <row r="1241" spans="2:26" x14ac:dyDescent="0.3">
      <c r="C1241" s="64">
        <v>44259</v>
      </c>
      <c r="E1241" s="40">
        <f>E1240-(F1240-E1240)</f>
        <v>53.175000000000011</v>
      </c>
      <c r="F1241" s="40">
        <f>AVERAGE(E1242:F1242)</f>
        <v>84.75</v>
      </c>
      <c r="G1241" s="40"/>
      <c r="H1241" s="66">
        <v>0.4861111111111111</v>
      </c>
      <c r="I1241" s="66">
        <v>0.52222222222222225</v>
      </c>
      <c r="J1241" s="66"/>
      <c r="K1241" s="66"/>
      <c r="L1241" s="66"/>
      <c r="M1241" s="66">
        <v>0.13472222222222222</v>
      </c>
      <c r="Q1241" s="30">
        <f>S1241/R1241</f>
        <v>87.8</v>
      </c>
      <c r="R1241" s="73">
        <f>SUM(R1237:R1240)</f>
        <v>150</v>
      </c>
      <c r="S1241" s="30">
        <f>SUM(S1237:S1240)</f>
        <v>13170</v>
      </c>
      <c r="V1241" s="40"/>
      <c r="W1241" s="63">
        <v>0.45763888888888887</v>
      </c>
      <c r="X1241" s="7">
        <v>65.650000000000006</v>
      </c>
      <c r="Y1241" s="7">
        <v>82.95</v>
      </c>
      <c r="Z1241" s="63">
        <v>0.45763888888888887</v>
      </c>
    </row>
    <row r="1242" spans="2:26" x14ac:dyDescent="0.3">
      <c r="B1242" s="34" t="s">
        <v>68</v>
      </c>
      <c r="C1242" s="63">
        <v>0.41666666666666669</v>
      </c>
      <c r="D1242" s="63">
        <v>0.39930555555555558</v>
      </c>
      <c r="E1242" s="40">
        <f>F1242-(G1242-F1242)</f>
        <v>75.875</v>
      </c>
      <c r="F1242" s="40">
        <f>AVERAGE(C1246,C1238)</f>
        <v>93.625</v>
      </c>
      <c r="G1242" s="40">
        <f>AVERAGE(C1245,C1237)</f>
        <v>111.375</v>
      </c>
      <c r="H1242" s="23">
        <v>93.6</v>
      </c>
      <c r="I1242" s="23">
        <v>84.75</v>
      </c>
      <c r="J1242" s="7"/>
      <c r="K1242" s="7"/>
      <c r="L1242" s="7"/>
      <c r="M1242" s="7">
        <v>15098.45</v>
      </c>
      <c r="P1242" s="50">
        <f>S1248</f>
        <v>-1170</v>
      </c>
      <c r="Q1242" s="57" t="s">
        <v>72</v>
      </c>
      <c r="S1242" s="57" t="s">
        <v>73</v>
      </c>
      <c r="T1242" s="23">
        <f>((X1240+Y1240)-(X1248+Y1248))</f>
        <v>4.3000000000000114</v>
      </c>
      <c r="U1242" s="23"/>
      <c r="V1242" s="50">
        <f>T1242*R1237</f>
        <v>322.50000000000085</v>
      </c>
      <c r="W1242" s="63">
        <v>0.47847222222222219</v>
      </c>
      <c r="X1242" s="7">
        <v>63.3</v>
      </c>
      <c r="Y1242" s="7">
        <v>81</v>
      </c>
      <c r="Z1242" s="63">
        <v>0.47847222222222219</v>
      </c>
    </row>
    <row r="1243" spans="2:26" x14ac:dyDescent="0.3">
      <c r="B1243" s="26">
        <f>B1244+50</f>
        <v>15150</v>
      </c>
      <c r="C1243" s="30">
        <v>157.75</v>
      </c>
      <c r="D1243" s="7">
        <v>142</v>
      </c>
      <c r="E1243" s="40">
        <f>E1242-(F1242-E1242)</f>
        <v>58.125</v>
      </c>
      <c r="F1243" s="30">
        <f t="shared" ref="F1243:F1248" si="75">B1243-D1243</f>
        <v>15008</v>
      </c>
      <c r="H1243" s="7">
        <v>168.05</v>
      </c>
      <c r="I1243" s="7">
        <v>163.85</v>
      </c>
      <c r="J1243" s="7"/>
      <c r="K1243" s="7"/>
      <c r="L1243" s="7"/>
      <c r="M1243" s="7">
        <v>156.05000000000001</v>
      </c>
      <c r="Q1243" s="30">
        <v>80</v>
      </c>
      <c r="R1243" s="73">
        <f>R1237</f>
        <v>75</v>
      </c>
      <c r="S1243" s="30">
        <f>R1243*Q1243</f>
        <v>6000</v>
      </c>
      <c r="W1243" s="63">
        <v>0.4993055555555555</v>
      </c>
      <c r="X1243" s="7">
        <v>54.55</v>
      </c>
      <c r="Y1243" s="7">
        <v>96.45</v>
      </c>
      <c r="Z1243" s="63">
        <v>0.4993055555555555</v>
      </c>
    </row>
    <row r="1244" spans="2:26" x14ac:dyDescent="0.3">
      <c r="B1244" s="26">
        <f>B1245+50</f>
        <v>15100</v>
      </c>
      <c r="C1244" s="30">
        <v>135.55000000000001</v>
      </c>
      <c r="D1244" s="7">
        <v>121.2</v>
      </c>
      <c r="E1244" s="40"/>
      <c r="F1244" s="30">
        <f t="shared" si="75"/>
        <v>14978.8</v>
      </c>
      <c r="H1244" s="7">
        <v>144.4</v>
      </c>
      <c r="I1244" s="7">
        <v>141.65</v>
      </c>
      <c r="J1244" s="7"/>
      <c r="K1244" s="7"/>
      <c r="L1244" s="7"/>
      <c r="M1244" s="7">
        <v>133.80000000000001</v>
      </c>
      <c r="Q1244" s="30">
        <v>80</v>
      </c>
      <c r="R1244" s="73">
        <f>R1237</f>
        <v>75</v>
      </c>
      <c r="S1244" s="30">
        <f>R1244*Q1244</f>
        <v>6000</v>
      </c>
      <c r="T1244" s="40"/>
      <c r="U1244" s="40"/>
      <c r="V1244" s="40"/>
      <c r="W1244" s="63">
        <v>0.52013888888888882</v>
      </c>
      <c r="X1244" s="7">
        <v>52.75</v>
      </c>
      <c r="Y1244" s="7">
        <v>89.95</v>
      </c>
      <c r="Z1244" s="63">
        <v>0.52013888888888882</v>
      </c>
    </row>
    <row r="1245" spans="2:26" x14ac:dyDescent="0.3">
      <c r="B1245" s="79">
        <v>15050</v>
      </c>
      <c r="C1245" s="30">
        <v>117</v>
      </c>
      <c r="D1245" s="7">
        <v>103.95</v>
      </c>
      <c r="E1245" s="40"/>
      <c r="F1245" s="30">
        <f t="shared" si="75"/>
        <v>14946.05</v>
      </c>
      <c r="H1245" s="7">
        <v>123</v>
      </c>
      <c r="I1245" s="7">
        <v>121.55</v>
      </c>
      <c r="J1245" s="7"/>
      <c r="K1245" s="7"/>
      <c r="L1245" s="7"/>
      <c r="M1245" s="7">
        <v>112.95</v>
      </c>
      <c r="Q1245" s="30"/>
      <c r="R1245" s="73"/>
      <c r="S1245" s="30">
        <f>R1245*Q1245</f>
        <v>0</v>
      </c>
      <c r="T1245" s="40"/>
      <c r="U1245" s="40"/>
      <c r="V1245" s="40"/>
      <c r="W1245" s="63">
        <v>0.54097222222222219</v>
      </c>
      <c r="X1245" s="7">
        <v>55.85</v>
      </c>
      <c r="Y1245" s="7">
        <v>83.1</v>
      </c>
      <c r="Z1245" s="63">
        <v>0.54097222222222219</v>
      </c>
    </row>
    <row r="1246" spans="2:26" x14ac:dyDescent="0.3">
      <c r="B1246" s="73">
        <f>B1245-50</f>
        <v>15000</v>
      </c>
      <c r="C1246" s="30">
        <v>99.15</v>
      </c>
      <c r="D1246" s="23">
        <v>87.4</v>
      </c>
      <c r="E1246" s="40"/>
      <c r="F1246" s="50">
        <f t="shared" si="75"/>
        <v>14912.6</v>
      </c>
      <c r="H1246" s="7">
        <v>105.15</v>
      </c>
      <c r="I1246" s="7">
        <v>102.95</v>
      </c>
      <c r="J1246" s="7"/>
      <c r="K1246" s="7"/>
      <c r="L1246" s="7"/>
      <c r="M1246" s="7">
        <v>95.8</v>
      </c>
      <c r="Q1246" s="30"/>
      <c r="R1246" s="73"/>
      <c r="S1246" s="30">
        <f>R1246*Q1246</f>
        <v>0</v>
      </c>
      <c r="W1246" s="63">
        <v>6.1805555555555558E-2</v>
      </c>
      <c r="X1246" s="7">
        <v>58.35</v>
      </c>
      <c r="Y1246" s="7">
        <v>78.849999999999994</v>
      </c>
      <c r="Z1246" s="63">
        <v>6.1805555555555558E-2</v>
      </c>
    </row>
    <row r="1247" spans="2:26" x14ac:dyDescent="0.3">
      <c r="B1247" s="72">
        <f>B1246-50</f>
        <v>14950</v>
      </c>
      <c r="C1247" s="51">
        <v>83.95</v>
      </c>
      <c r="D1247" s="30">
        <v>74</v>
      </c>
      <c r="E1247" s="40"/>
      <c r="F1247" s="30">
        <f t="shared" si="75"/>
        <v>14876</v>
      </c>
      <c r="H1247" s="7">
        <v>87.8</v>
      </c>
      <c r="I1247" s="7">
        <v>86.5</v>
      </c>
      <c r="J1247" s="7"/>
      <c r="K1247" s="7"/>
      <c r="L1247" s="7"/>
      <c r="M1247" s="7">
        <v>80</v>
      </c>
      <c r="Q1247" s="30">
        <f>S1247/R1247</f>
        <v>80</v>
      </c>
      <c r="R1247" s="73">
        <f>SUM(R1243:R1246)</f>
        <v>150</v>
      </c>
      <c r="S1247" s="30">
        <f>SUM(S1243:S1246)</f>
        <v>12000</v>
      </c>
      <c r="W1247" s="63">
        <v>8.2638888888888887E-2</v>
      </c>
      <c r="X1247" s="7">
        <v>58.85</v>
      </c>
      <c r="Y1247" s="7">
        <v>77.5</v>
      </c>
      <c r="Z1247" s="63">
        <v>8.2638888888888887E-2</v>
      </c>
    </row>
    <row r="1248" spans="2:26" x14ac:dyDescent="0.3">
      <c r="B1248" s="26">
        <f>B1247-50</f>
        <v>14900</v>
      </c>
      <c r="C1248" s="30">
        <v>70.599999999999994</v>
      </c>
      <c r="D1248" s="30">
        <v>62.8</v>
      </c>
      <c r="E1248" s="40"/>
      <c r="F1248" s="30">
        <f t="shared" si="75"/>
        <v>14837.2</v>
      </c>
      <c r="H1248" s="7">
        <v>75.2</v>
      </c>
      <c r="I1248" s="7">
        <v>73</v>
      </c>
      <c r="J1248" s="7"/>
      <c r="K1248" s="7"/>
      <c r="L1248" s="7"/>
      <c r="M1248" s="7">
        <v>66.849999999999994</v>
      </c>
      <c r="Q1248" s="136">
        <f>(SUM(Q1243:Q1246)-SUM(Q1237:Q1240))</f>
        <v>-15.599999999999994</v>
      </c>
      <c r="R1248" s="137"/>
      <c r="S1248" s="30">
        <f>S1247-S1241</f>
        <v>-1170</v>
      </c>
      <c r="W1248" s="63">
        <v>0.13541666666666666</v>
      </c>
      <c r="X1248" s="30">
        <v>55.3</v>
      </c>
      <c r="Y1248" s="30">
        <v>93.6</v>
      </c>
      <c r="Z1248" s="63">
        <v>0.4861111111111111</v>
      </c>
    </row>
    <row r="1260" spans="2:26" x14ac:dyDescent="0.3">
      <c r="B1260" s="40"/>
      <c r="C1260" s="50">
        <f>AVERAGE(B1261,D1260)</f>
        <v>14964.55</v>
      </c>
      <c r="D1260" s="51">
        <f>B1261+E1261</f>
        <v>15029.55</v>
      </c>
      <c r="E1260" s="50">
        <f>D1260+E1261</f>
        <v>15159.55</v>
      </c>
      <c r="F1260" s="21"/>
      <c r="H1260" s="52" t="str">
        <f>IF((C1269-D1269)&gt;(C1278-D1278),"LONG",IF(C1278&gt;D1276,"LONG","SHORT"))</f>
        <v>LONG</v>
      </c>
      <c r="I1260" s="138" t="s">
        <v>110</v>
      </c>
      <c r="J1260" s="139"/>
      <c r="K1260" s="140"/>
      <c r="Q1260" s="132" t="s">
        <v>71</v>
      </c>
      <c r="R1260" s="132"/>
      <c r="S1260" s="132" t="s">
        <v>37</v>
      </c>
      <c r="T1260" s="132"/>
      <c r="U1260" s="69"/>
      <c r="W1260" s="34" t="s">
        <v>68</v>
      </c>
      <c r="X1260" s="56" t="s">
        <v>69</v>
      </c>
      <c r="Y1260" s="57" t="s">
        <v>70</v>
      </c>
      <c r="Z1260" s="34" t="s">
        <v>68</v>
      </c>
    </row>
    <row r="1261" spans="2:26" x14ac:dyDescent="0.3">
      <c r="B1261" s="50">
        <v>14899.55</v>
      </c>
      <c r="C1261" s="40"/>
      <c r="D1261" s="58"/>
      <c r="E1261" s="59">
        <f>ROUND((((B1261*F1261%)/4)/10),0)*10</f>
        <v>130</v>
      </c>
      <c r="F1261" s="51">
        <f>(100/B1261)*(F1270-F1279)</f>
        <v>3.3652023047676036</v>
      </c>
      <c r="H1261" s="54">
        <v>0.39166666666666666</v>
      </c>
      <c r="I1261" s="54">
        <v>0.39861111111111108</v>
      </c>
      <c r="J1261" s="54">
        <v>0.4055555555555555</v>
      </c>
      <c r="K1261" s="54">
        <v>0.41250000000000003</v>
      </c>
      <c r="M1261" s="82">
        <f>ROUND((50000/(99*2))/225,0)*75</f>
        <v>75</v>
      </c>
      <c r="Q1261" s="61">
        <f>R1261-(S1261-R1261)</f>
        <v>14298</v>
      </c>
      <c r="R1261" s="61">
        <v>14725</v>
      </c>
      <c r="S1261" s="61">
        <v>15152</v>
      </c>
      <c r="T1261" s="61">
        <f>S1261+(S1261-R1261)</f>
        <v>15579</v>
      </c>
      <c r="U1261" s="71"/>
      <c r="W1261" s="63">
        <v>0.41597222222222219</v>
      </c>
      <c r="X1261" s="30">
        <v>118.25</v>
      </c>
      <c r="Y1261" s="30">
        <v>142.94999999999999</v>
      </c>
      <c r="Z1261" s="63">
        <v>0.41597222222222219</v>
      </c>
    </row>
    <row r="1262" spans="2:26" x14ac:dyDescent="0.3">
      <c r="B1262" s="40"/>
      <c r="C1262" s="50">
        <f>AVERAGE(B1261,D1262)</f>
        <v>14834.55</v>
      </c>
      <c r="D1262" s="51">
        <f>B1261-E1261</f>
        <v>14769.55</v>
      </c>
      <c r="E1262" s="50">
        <f>D1262-E1261</f>
        <v>14639.55</v>
      </c>
      <c r="F1262" s="21"/>
      <c r="H1262" s="51">
        <v>14889.05</v>
      </c>
      <c r="I1262" s="51">
        <v>14920.05</v>
      </c>
      <c r="J1262" s="51">
        <v>14890.35</v>
      </c>
      <c r="K1262" s="51">
        <v>14884.7</v>
      </c>
      <c r="W1262" s="63">
        <v>0.4368055555555555</v>
      </c>
      <c r="X1262" s="30">
        <v>92.45</v>
      </c>
      <c r="Y1262" s="30">
        <v>142.94999999999999</v>
      </c>
      <c r="Z1262" s="63">
        <v>0.4368055555555555</v>
      </c>
    </row>
    <row r="1263" spans="2:26" x14ac:dyDescent="0.3">
      <c r="F1263" s="40"/>
      <c r="G1263" s="40"/>
      <c r="K1263" s="40"/>
      <c r="W1263" s="63">
        <v>0.45763888888888887</v>
      </c>
      <c r="X1263" s="30">
        <v>88.7</v>
      </c>
      <c r="Y1263" s="30">
        <v>210.9</v>
      </c>
      <c r="Z1263" s="63">
        <v>0.45763888888888887</v>
      </c>
    </row>
    <row r="1264" spans="2:26" x14ac:dyDescent="0.3">
      <c r="B1264" s="40"/>
      <c r="P1264" s="40"/>
      <c r="W1264" s="63">
        <v>0.47847222222222219</v>
      </c>
      <c r="X1264" s="30">
        <v>85.8</v>
      </c>
      <c r="Y1264" s="30">
        <v>278.64999999999998</v>
      </c>
      <c r="Z1264" s="63">
        <v>0.47847222222222219</v>
      </c>
    </row>
    <row r="1265" spans="2:26" x14ac:dyDescent="0.3">
      <c r="C1265" s="64">
        <v>44253</v>
      </c>
      <c r="F1265" s="30">
        <f>AVERAGE(F1267,F1276)</f>
        <v>14881.35</v>
      </c>
      <c r="G1265" s="65"/>
      <c r="H1265" s="66">
        <v>0.4284722222222222</v>
      </c>
      <c r="I1265" s="66">
        <v>0.43402777777777773</v>
      </c>
      <c r="J1265" s="66">
        <v>0.4604166666666667</v>
      </c>
      <c r="K1265" s="66"/>
      <c r="L1265" s="66"/>
      <c r="M1265" s="66">
        <v>0.13541666666666666</v>
      </c>
      <c r="P1265" s="40"/>
      <c r="W1265" s="63">
        <v>0.4993055555555555</v>
      </c>
      <c r="X1265" s="30">
        <v>84.7</v>
      </c>
      <c r="Y1265" s="30">
        <v>285.25</v>
      </c>
      <c r="Z1265" s="63">
        <v>0.4993055555555555</v>
      </c>
    </row>
    <row r="1266" spans="2:26" x14ac:dyDescent="0.3">
      <c r="B1266" s="34" t="s">
        <v>68</v>
      </c>
      <c r="C1266" s="63">
        <v>0.41666666666666669</v>
      </c>
      <c r="D1266" s="63">
        <v>0.38611111111111113</v>
      </c>
      <c r="H1266" s="7">
        <v>14862</v>
      </c>
      <c r="I1266" s="7">
        <v>14799.05</v>
      </c>
      <c r="J1266" s="7">
        <v>14737.9</v>
      </c>
      <c r="K1266" s="7"/>
      <c r="L1266" s="7"/>
      <c r="M1266" s="7">
        <v>14584.8</v>
      </c>
      <c r="Q1266" s="145" t="s">
        <v>72</v>
      </c>
      <c r="R1266" s="145"/>
      <c r="S1266" s="145"/>
      <c r="T1266" s="145"/>
      <c r="U1266" s="83"/>
      <c r="W1266" s="63">
        <v>0.52013888888888882</v>
      </c>
      <c r="X1266" s="30">
        <v>75.849999999999994</v>
      </c>
      <c r="Y1266" s="30">
        <v>330.75</v>
      </c>
      <c r="Z1266" s="63">
        <v>0.52013888888888882</v>
      </c>
    </row>
    <row r="1267" spans="2:26" x14ac:dyDescent="0.3">
      <c r="B1267" s="26">
        <f>B1268-50</f>
        <v>14900</v>
      </c>
      <c r="C1267" s="30">
        <v>163.05000000000001</v>
      </c>
      <c r="D1267" s="30">
        <v>139.69999999999999</v>
      </c>
      <c r="E1267" s="40"/>
      <c r="F1267" s="30">
        <f t="shared" ref="F1267:F1272" si="76">B1267+D1267</f>
        <v>15039.7</v>
      </c>
      <c r="H1267" s="7">
        <v>146.15</v>
      </c>
      <c r="I1267" s="7">
        <v>124.9</v>
      </c>
      <c r="J1267" s="7">
        <v>119.95</v>
      </c>
      <c r="K1267" s="7"/>
      <c r="L1267" s="7"/>
      <c r="M1267" s="7">
        <v>76.55</v>
      </c>
      <c r="Q1267" s="26"/>
      <c r="R1267" s="34" t="s">
        <v>2</v>
      </c>
      <c r="S1267" s="34" t="s">
        <v>111</v>
      </c>
      <c r="T1267" s="34" t="s">
        <v>1</v>
      </c>
      <c r="U1267" s="84"/>
      <c r="W1267" s="63">
        <v>0.54097222222222219</v>
      </c>
      <c r="X1267" s="30">
        <v>81.349999999999994</v>
      </c>
      <c r="Y1267" s="30">
        <v>295.7</v>
      </c>
      <c r="Z1267" s="63">
        <v>0.54097222222222219</v>
      </c>
    </row>
    <row r="1268" spans="2:26" x14ac:dyDescent="0.3">
      <c r="B1268" s="26">
        <f>B1269-50</f>
        <v>14950</v>
      </c>
      <c r="C1268" s="30">
        <v>140.15</v>
      </c>
      <c r="D1268" s="7">
        <v>118.45</v>
      </c>
      <c r="E1268" s="40"/>
      <c r="F1268" s="30">
        <f t="shared" si="76"/>
        <v>15068.45</v>
      </c>
      <c r="H1268" s="7">
        <v>123.8</v>
      </c>
      <c r="I1268" s="7">
        <v>105.8</v>
      </c>
      <c r="J1268" s="7">
        <v>101.55</v>
      </c>
      <c r="K1268" s="7"/>
      <c r="L1268" s="7"/>
      <c r="M1268" s="7">
        <v>64.95</v>
      </c>
      <c r="Q1268" s="30"/>
      <c r="R1268" s="30"/>
      <c r="S1268" s="26"/>
      <c r="T1268" s="30"/>
      <c r="U1268" s="85"/>
      <c r="W1268" s="63">
        <v>6.1805555555555558E-2</v>
      </c>
      <c r="X1268" s="30">
        <v>72.25</v>
      </c>
      <c r="Y1268" s="30">
        <v>333.65</v>
      </c>
      <c r="Z1268" s="63">
        <v>6.1805555555555558E-2</v>
      </c>
    </row>
    <row r="1269" spans="2:26" x14ac:dyDescent="0.3">
      <c r="B1269" s="79">
        <v>15000</v>
      </c>
      <c r="C1269" s="30">
        <v>118.25</v>
      </c>
      <c r="D1269" s="7">
        <v>98.25</v>
      </c>
      <c r="E1269" s="40"/>
      <c r="F1269" s="30">
        <f t="shared" si="76"/>
        <v>15098.25</v>
      </c>
      <c r="H1269" s="7">
        <v>103.2</v>
      </c>
      <c r="I1269" s="7">
        <v>88.45</v>
      </c>
      <c r="J1269" s="7">
        <v>85.8</v>
      </c>
      <c r="K1269" s="7"/>
      <c r="L1269" s="7"/>
      <c r="M1269" s="7">
        <v>54.6</v>
      </c>
      <c r="Q1269" s="30"/>
      <c r="R1269" s="30"/>
      <c r="S1269" s="26"/>
      <c r="T1269" s="30"/>
      <c r="U1269" s="85"/>
      <c r="W1269" s="63">
        <v>8.2638888888888887E-2</v>
      </c>
      <c r="X1269" s="30">
        <v>77.849999999999994</v>
      </c>
      <c r="Y1269" s="30">
        <v>283.3</v>
      </c>
      <c r="Z1269" s="63">
        <v>8.2638888888888887E-2</v>
      </c>
    </row>
    <row r="1270" spans="2:26" x14ac:dyDescent="0.3">
      <c r="B1270" s="26">
        <f>B1269+50</f>
        <v>15050</v>
      </c>
      <c r="C1270" s="30">
        <v>99.25</v>
      </c>
      <c r="D1270" s="23">
        <v>82.7</v>
      </c>
      <c r="E1270" s="40"/>
      <c r="F1270" s="50">
        <f t="shared" si="76"/>
        <v>15132.7</v>
      </c>
      <c r="H1270" s="7">
        <v>85.25</v>
      </c>
      <c r="I1270" s="7">
        <v>73</v>
      </c>
      <c r="J1270" s="7">
        <v>71.900000000000006</v>
      </c>
      <c r="K1270" s="7"/>
      <c r="L1270" s="7"/>
      <c r="M1270" s="7">
        <v>45.35</v>
      </c>
      <c r="Q1270" s="30"/>
      <c r="R1270" s="30"/>
      <c r="S1270" s="26"/>
      <c r="T1270" s="30"/>
      <c r="U1270" s="85"/>
    </row>
    <row r="1271" spans="2:26" x14ac:dyDescent="0.3">
      <c r="B1271" s="72">
        <f>B1270+50</f>
        <v>15100</v>
      </c>
      <c r="C1271" s="51">
        <v>81.349999999999994</v>
      </c>
      <c r="D1271" s="30">
        <v>67.95</v>
      </c>
      <c r="E1271" s="40"/>
      <c r="F1271" s="30">
        <f t="shared" si="76"/>
        <v>15167.95</v>
      </c>
      <c r="H1271" s="7">
        <v>69.599999999999994</v>
      </c>
      <c r="I1271" s="7">
        <v>60.15</v>
      </c>
      <c r="J1271" s="7">
        <v>60</v>
      </c>
      <c r="K1271" s="7"/>
      <c r="L1271" s="7"/>
      <c r="M1271" s="7">
        <v>38.15</v>
      </c>
      <c r="Q1271" s="30"/>
      <c r="R1271" s="30"/>
      <c r="S1271" s="26"/>
      <c r="T1271" s="30"/>
      <c r="U1271" s="85"/>
      <c r="W1271" s="34" t="s">
        <v>68</v>
      </c>
      <c r="X1271" s="56" t="s">
        <v>69</v>
      </c>
      <c r="Y1271" s="57" t="s">
        <v>70</v>
      </c>
      <c r="Z1271" s="34" t="s">
        <v>68</v>
      </c>
    </row>
    <row r="1272" spans="2:26" x14ac:dyDescent="0.3">
      <c r="B1272" s="26">
        <f>B1271+50</f>
        <v>15150</v>
      </c>
      <c r="C1272" s="30">
        <v>67.150000000000006</v>
      </c>
      <c r="D1272" s="30">
        <v>56.6</v>
      </c>
      <c r="E1272" s="40"/>
      <c r="F1272" s="30">
        <f t="shared" si="76"/>
        <v>15206.6</v>
      </c>
      <c r="H1272" s="7">
        <v>56.65</v>
      </c>
      <c r="I1272" s="7">
        <v>49.4</v>
      </c>
      <c r="J1272" s="7">
        <v>50.25</v>
      </c>
      <c r="K1272" s="7"/>
      <c r="L1272" s="7"/>
      <c r="M1272" s="7">
        <v>31.95</v>
      </c>
      <c r="Q1272" s="26" t="s">
        <v>112</v>
      </c>
      <c r="R1272" s="30">
        <f>SUM(Q1268:Q1271)</f>
        <v>0</v>
      </c>
      <c r="S1272" s="26">
        <f>SUM(S1268:S1271)</f>
        <v>0</v>
      </c>
      <c r="T1272" s="26" t="e">
        <f>(R1272/S1272)*2</f>
        <v>#DIV/0!</v>
      </c>
      <c r="U1272" s="48"/>
      <c r="W1272" s="63">
        <v>0.41597222222222219</v>
      </c>
      <c r="X1272" s="7">
        <v>81.349999999999994</v>
      </c>
      <c r="Y1272" s="7">
        <v>92.65</v>
      </c>
      <c r="Z1272" s="63">
        <v>0.41597222222222219</v>
      </c>
    </row>
    <row r="1273" spans="2:26" x14ac:dyDescent="0.3">
      <c r="D1273" s="40"/>
      <c r="E1273" s="40">
        <f>F1273-(G1273-F1273)</f>
        <v>79.075000000000003</v>
      </c>
      <c r="F1273" s="40">
        <f>AVERAGE(C1270,C1281)</f>
        <v>95.95</v>
      </c>
      <c r="G1273" s="40">
        <f>AVERAGE(C1269,C1280)</f>
        <v>112.825</v>
      </c>
      <c r="H1273" s="17"/>
      <c r="I1273" s="81"/>
      <c r="J1273" s="17"/>
      <c r="K1273" s="76"/>
      <c r="L1273" s="17"/>
      <c r="M1273" s="17"/>
      <c r="V1273" s="40"/>
      <c r="W1273" s="63">
        <v>0.4368055555555555</v>
      </c>
      <c r="X1273" s="7">
        <v>65.05</v>
      </c>
      <c r="Y1273" s="7">
        <v>118</v>
      </c>
      <c r="Z1273" s="63">
        <v>0.4368055555555555</v>
      </c>
    </row>
    <row r="1274" spans="2:26" x14ac:dyDescent="0.3">
      <c r="C1274" s="64">
        <v>44259</v>
      </c>
      <c r="E1274" s="40">
        <f>E1273-(F1273-E1273)</f>
        <v>62.2</v>
      </c>
      <c r="F1274" s="40">
        <f>AVERAGE(E1275,F1275)</f>
        <v>94.325000000000003</v>
      </c>
      <c r="G1274" s="40"/>
      <c r="H1274" s="66">
        <v>0.4284722222222222</v>
      </c>
      <c r="I1274" s="66">
        <v>0.43402777777777773</v>
      </c>
      <c r="J1274" s="66">
        <v>0.4604166666666667</v>
      </c>
      <c r="K1274" s="66"/>
      <c r="L1274" s="66"/>
      <c r="M1274" s="66">
        <v>0.13541666666666666</v>
      </c>
      <c r="Q1274" s="30">
        <f>(T1274-R1274)*S1274</f>
        <v>1488.7499999999995</v>
      </c>
      <c r="R1274" s="86">
        <v>101.45</v>
      </c>
      <c r="S1274" s="26">
        <v>75</v>
      </c>
      <c r="T1274" s="30">
        <v>121.3</v>
      </c>
      <c r="U1274" s="85"/>
      <c r="W1274" s="63">
        <v>0.45763888888888887</v>
      </c>
      <c r="X1274" s="7">
        <v>61.4</v>
      </c>
      <c r="Y1274" s="7">
        <v>142.65</v>
      </c>
      <c r="Z1274" s="63">
        <v>0.45763888888888887</v>
      </c>
    </row>
    <row r="1275" spans="2:26" x14ac:dyDescent="0.3">
      <c r="B1275" s="34" t="s">
        <v>68</v>
      </c>
      <c r="C1275" s="63">
        <v>0.41666666666666669</v>
      </c>
      <c r="D1275" s="63">
        <v>0.40902777777777777</v>
      </c>
      <c r="E1275" s="40">
        <f>F1275-(G1275-F1275)</f>
        <v>85.325000000000003</v>
      </c>
      <c r="F1275" s="40">
        <f>AVERAGE(C1280,C1270)</f>
        <v>103.325</v>
      </c>
      <c r="G1275" s="40">
        <f>AVERAGE(C1279,C1269)</f>
        <v>121.325</v>
      </c>
      <c r="H1275" s="23">
        <v>103.3</v>
      </c>
      <c r="I1275" s="23">
        <v>121.3</v>
      </c>
      <c r="J1275" s="23">
        <v>165.5</v>
      </c>
      <c r="K1275" s="7"/>
      <c r="L1275" s="7"/>
      <c r="M1275" s="7">
        <v>14584.8</v>
      </c>
      <c r="Q1275" s="30">
        <f>(T1275-R1275)*S1275</f>
        <v>6386.2499999999991</v>
      </c>
      <c r="R1275" s="86">
        <v>101.45</v>
      </c>
      <c r="S1275" s="26">
        <v>75</v>
      </c>
      <c r="T1275" s="30">
        <v>186.6</v>
      </c>
      <c r="U1275" s="85"/>
      <c r="W1275" s="63">
        <v>0.47847222222222219</v>
      </c>
      <c r="X1275" s="7">
        <v>60.7</v>
      </c>
      <c r="Y1275" s="7">
        <v>201.45</v>
      </c>
      <c r="Z1275" s="63">
        <v>0.47847222222222219</v>
      </c>
    </row>
    <row r="1276" spans="2:26" x14ac:dyDescent="0.3">
      <c r="B1276" s="26">
        <f>B1277+50</f>
        <v>14900</v>
      </c>
      <c r="C1276" s="30">
        <v>186.95</v>
      </c>
      <c r="D1276" s="7">
        <v>177</v>
      </c>
      <c r="E1276" s="40">
        <f>E1275-(F1275-E1275)</f>
        <v>67.325000000000003</v>
      </c>
      <c r="F1276" s="30">
        <f t="shared" ref="F1276:F1281" si="77">B1276-D1276</f>
        <v>14723</v>
      </c>
      <c r="H1276" s="7">
        <v>202.9</v>
      </c>
      <c r="I1276" s="7">
        <v>243.9</v>
      </c>
      <c r="J1276" s="7">
        <v>296.45</v>
      </c>
      <c r="K1276" s="7"/>
      <c r="L1276" s="7"/>
      <c r="M1276" s="7">
        <v>416.45</v>
      </c>
      <c r="Q1276" s="86"/>
      <c r="R1276" s="86"/>
      <c r="S1276" s="72"/>
      <c r="T1276" s="86"/>
      <c r="U1276" s="74"/>
      <c r="V1276" s="40"/>
      <c r="W1276" s="63">
        <v>0.4993055555555555</v>
      </c>
      <c r="X1276" s="7">
        <v>60.75</v>
      </c>
      <c r="Y1276" s="7">
        <v>206.15</v>
      </c>
      <c r="Z1276" s="63">
        <v>0.4993055555555555</v>
      </c>
    </row>
    <row r="1277" spans="2:26" x14ac:dyDescent="0.3">
      <c r="B1277" s="26">
        <f>B1278+50</f>
        <v>14850</v>
      </c>
      <c r="C1277" s="30">
        <v>163.95</v>
      </c>
      <c r="D1277" s="7">
        <v>154.5</v>
      </c>
      <c r="E1277" s="40"/>
      <c r="F1277" s="30">
        <f t="shared" si="77"/>
        <v>14695.5</v>
      </c>
      <c r="H1277" s="7">
        <v>176.95</v>
      </c>
      <c r="I1277" s="7">
        <v>216.25</v>
      </c>
      <c r="J1277" s="7">
        <v>266</v>
      </c>
      <c r="K1277" s="7"/>
      <c r="L1277" s="7"/>
      <c r="M1277" s="7">
        <v>381</v>
      </c>
      <c r="Q1277" s="86"/>
      <c r="R1277" s="86"/>
      <c r="S1277" s="72"/>
      <c r="T1277" s="86"/>
      <c r="U1277" s="74"/>
      <c r="V1277" s="40"/>
      <c r="W1277" s="63">
        <v>0.52013888888888882</v>
      </c>
      <c r="X1277" s="7">
        <v>53.7</v>
      </c>
      <c r="Y1277" s="7">
        <v>250</v>
      </c>
      <c r="Z1277" s="63">
        <v>0.52013888888888882</v>
      </c>
    </row>
    <row r="1278" spans="2:26" x14ac:dyDescent="0.3">
      <c r="B1278" s="79">
        <v>14800</v>
      </c>
      <c r="C1278" s="30">
        <v>142.94999999999999</v>
      </c>
      <c r="D1278" s="7">
        <v>135.30000000000001</v>
      </c>
      <c r="E1278" s="40"/>
      <c r="F1278" s="30">
        <f t="shared" si="77"/>
        <v>14664.7</v>
      </c>
      <c r="H1278" s="7">
        <v>155</v>
      </c>
      <c r="I1278" s="7">
        <v>189.75</v>
      </c>
      <c r="J1278" s="7">
        <v>236.65</v>
      </c>
      <c r="K1278" s="7"/>
      <c r="L1278" s="7"/>
      <c r="M1278" s="7">
        <v>345.8</v>
      </c>
      <c r="Q1278" s="26" t="s">
        <v>112</v>
      </c>
      <c r="R1278" s="30">
        <f>SUM(Q1274:Q1277)</f>
        <v>7874.9999999999982</v>
      </c>
      <c r="S1278" s="26">
        <f>SUM(S1274:S1277)</f>
        <v>150</v>
      </c>
      <c r="T1278" s="26">
        <f>(R1278/S1278)*2</f>
        <v>104.99999999999997</v>
      </c>
      <c r="U1278" s="48"/>
      <c r="W1278" s="63">
        <v>0.54097222222222219</v>
      </c>
      <c r="X1278" s="7">
        <v>57.95</v>
      </c>
      <c r="Y1278" s="7">
        <v>218.95</v>
      </c>
      <c r="Z1278" s="63">
        <v>0.54097222222222219</v>
      </c>
    </row>
    <row r="1279" spans="2:26" x14ac:dyDescent="0.3">
      <c r="B1279" s="73">
        <f>B1278-50</f>
        <v>14750</v>
      </c>
      <c r="C1279" s="30">
        <v>124.4</v>
      </c>
      <c r="D1279" s="23">
        <v>118.7</v>
      </c>
      <c r="E1279" s="40"/>
      <c r="F1279" s="50">
        <f t="shared" si="77"/>
        <v>14631.3</v>
      </c>
      <c r="H1279" s="7">
        <v>135.35</v>
      </c>
      <c r="I1279" s="7">
        <v>165.5</v>
      </c>
      <c r="J1279" s="7">
        <v>211.05</v>
      </c>
      <c r="K1279" s="7"/>
      <c r="L1279" s="7"/>
      <c r="M1279" s="7">
        <v>313.55</v>
      </c>
      <c r="W1279" s="63">
        <v>6.1805555555555558E-2</v>
      </c>
      <c r="X1279" s="7">
        <v>51.5</v>
      </c>
      <c r="Y1279" s="7">
        <v>249.45</v>
      </c>
      <c r="Z1279" s="63">
        <v>6.1805555555555558E-2</v>
      </c>
    </row>
    <row r="1280" spans="2:26" x14ac:dyDescent="0.3">
      <c r="B1280" s="72">
        <f>B1279-50</f>
        <v>14700</v>
      </c>
      <c r="C1280" s="30">
        <v>107.4</v>
      </c>
      <c r="D1280" s="30">
        <v>103.45</v>
      </c>
      <c r="E1280" s="40"/>
      <c r="F1280" s="30">
        <f t="shared" si="77"/>
        <v>14596.55</v>
      </c>
      <c r="H1280" s="7">
        <v>117.1</v>
      </c>
      <c r="I1280" s="7">
        <v>145.35</v>
      </c>
      <c r="J1280" s="7">
        <v>186.6</v>
      </c>
      <c r="K1280" s="7"/>
      <c r="L1280" s="7"/>
      <c r="M1280" s="7">
        <v>282.3</v>
      </c>
      <c r="W1280" s="63">
        <v>8.2638888888888887E-2</v>
      </c>
      <c r="X1280" s="7">
        <v>54.65</v>
      </c>
      <c r="Y1280" s="7">
        <v>203.85</v>
      </c>
      <c r="Z1280" s="63">
        <v>8.2638888888888887E-2</v>
      </c>
    </row>
    <row r="1281" spans="2:26" x14ac:dyDescent="0.3">
      <c r="B1281" s="26">
        <f>B1280-50</f>
        <v>14650</v>
      </c>
      <c r="C1281" s="51">
        <v>92.65</v>
      </c>
      <c r="D1281" s="30">
        <v>89.8</v>
      </c>
      <c r="E1281" s="40"/>
      <c r="F1281" s="30">
        <f t="shared" si="77"/>
        <v>14560.2</v>
      </c>
      <c r="H1281" s="7">
        <v>101.45</v>
      </c>
      <c r="I1281" s="7">
        <v>126.3</v>
      </c>
      <c r="J1281" s="7">
        <v>164.5</v>
      </c>
      <c r="K1281" s="7"/>
      <c r="L1281" s="7"/>
      <c r="M1281" s="7">
        <v>252.8</v>
      </c>
      <c r="P1281" s="77">
        <f>SUM(R1272,R1278)</f>
        <v>7874.9999999999982</v>
      </c>
      <c r="Q1281" s="26">
        <f>P1281/75</f>
        <v>104.99999999999997</v>
      </c>
      <c r="R1281" s="57" t="s">
        <v>72</v>
      </c>
      <c r="S1281" s="57" t="s">
        <v>73</v>
      </c>
      <c r="T1281" s="23">
        <f>((X1273+Y1273)-(X1281+Y1281))</f>
        <v>11.900000000000006</v>
      </c>
      <c r="U1281" s="23"/>
      <c r="V1281" s="50">
        <f>T1281*M1261</f>
        <v>892.50000000000045</v>
      </c>
      <c r="W1281" s="63">
        <v>0.50277777777777777</v>
      </c>
      <c r="X1281" s="30">
        <v>53.15</v>
      </c>
      <c r="Y1281" s="23">
        <v>118</v>
      </c>
      <c r="Z1281" s="63">
        <v>0.4368055555555555</v>
      </c>
    </row>
    <row r="1293" spans="2:26" x14ac:dyDescent="0.3">
      <c r="B1293" s="40"/>
      <c r="C1293" s="50">
        <f>AVERAGE(B1294,D1293)</f>
        <v>14827.6</v>
      </c>
      <c r="D1293" s="51">
        <f>B1294+E1294</f>
        <v>14887.6</v>
      </c>
      <c r="E1293" s="50">
        <f>D1293+E1294</f>
        <v>15007.6</v>
      </c>
      <c r="F1293" s="21"/>
      <c r="H1293" s="52" t="str">
        <f>IF((C1302-D1302)&gt;(C1311-D1311),"LONG",IF(C1311&gt;D1309,"LONG","SHORT"))</f>
        <v>LONG</v>
      </c>
      <c r="I1293" s="138" t="s">
        <v>113</v>
      </c>
      <c r="J1293" s="139"/>
      <c r="K1293" s="140"/>
      <c r="Q1293" s="132" t="s">
        <v>71</v>
      </c>
      <c r="R1293" s="132"/>
      <c r="S1293" s="132" t="s">
        <v>37</v>
      </c>
      <c r="T1293" s="132"/>
      <c r="U1293" s="69"/>
      <c r="W1293" s="34" t="s">
        <v>68</v>
      </c>
      <c r="X1293" s="56" t="s">
        <v>69</v>
      </c>
      <c r="Y1293" s="57" t="s">
        <v>70</v>
      </c>
      <c r="Z1293" s="34" t="s">
        <v>68</v>
      </c>
    </row>
    <row r="1294" spans="2:26" x14ac:dyDescent="0.3">
      <c r="B1294" s="50">
        <v>14767.6</v>
      </c>
      <c r="C1294" s="40"/>
      <c r="D1294" s="58"/>
      <c r="E1294" s="59">
        <f>ROUND((((B1294*F1294%)/4)/10),0)*10</f>
        <v>120</v>
      </c>
      <c r="F1294" s="51">
        <f>(100/B1294)*(F1303-F1312)</f>
        <v>3.3427909748368148</v>
      </c>
      <c r="H1294" s="54">
        <v>0.39166666666666666</v>
      </c>
      <c r="I1294" s="54">
        <v>0.39861111111111108</v>
      </c>
      <c r="J1294" s="54">
        <v>0.4055555555555555</v>
      </c>
      <c r="K1294" s="54">
        <v>0.41250000000000003</v>
      </c>
      <c r="M1294" s="82">
        <f>ROUND((50000/(99*2))/225,0)*75</f>
        <v>75</v>
      </c>
      <c r="Q1294" s="61">
        <f>R1294-(S1294-R1294)</f>
        <v>14127.099999999999</v>
      </c>
      <c r="R1294" s="61">
        <v>14639.55</v>
      </c>
      <c r="S1294" s="61">
        <v>15152</v>
      </c>
      <c r="T1294" s="61">
        <f>S1294+(S1294-R1294)</f>
        <v>15664.45</v>
      </c>
      <c r="U1294" s="71"/>
      <c r="W1294" s="63">
        <v>0.41597222222222219</v>
      </c>
      <c r="X1294" s="7">
        <v>122.15</v>
      </c>
      <c r="Y1294" s="30">
        <v>130</v>
      </c>
      <c r="Z1294" s="63">
        <v>0.41597222222222219</v>
      </c>
    </row>
    <row r="1295" spans="2:26" x14ac:dyDescent="0.3">
      <c r="B1295" s="40"/>
      <c r="C1295" s="50">
        <f>AVERAGE(B1294,D1295)</f>
        <v>14707.6</v>
      </c>
      <c r="D1295" s="51">
        <f>B1294-E1294</f>
        <v>14647.6</v>
      </c>
      <c r="E1295" s="50">
        <f>D1295-E1294</f>
        <v>14527.6</v>
      </c>
      <c r="F1295" s="21"/>
      <c r="H1295" s="51">
        <v>14727.1</v>
      </c>
      <c r="I1295" s="51">
        <v>14700.3</v>
      </c>
      <c r="J1295" s="51">
        <v>14759</v>
      </c>
      <c r="K1295" s="51">
        <v>14779.9</v>
      </c>
      <c r="W1295" s="63">
        <v>0.4368055555555555</v>
      </c>
      <c r="X1295" s="30">
        <v>137.65</v>
      </c>
      <c r="Y1295" s="30">
        <v>107.35</v>
      </c>
      <c r="Z1295" s="63">
        <v>0.4368055555555555</v>
      </c>
    </row>
    <row r="1296" spans="2:26" x14ac:dyDescent="0.3">
      <c r="F1296" s="40"/>
      <c r="G1296" s="40"/>
      <c r="K1296" s="40"/>
      <c r="Q1296" s="40"/>
      <c r="R1296" s="40"/>
      <c r="W1296" s="63">
        <v>0.45763888888888887</v>
      </c>
      <c r="X1296" s="30">
        <v>139.44999999999999</v>
      </c>
      <c r="Y1296" s="30">
        <v>103.55</v>
      </c>
      <c r="Z1296" s="63">
        <v>0.45763888888888887</v>
      </c>
    </row>
    <row r="1297" spans="2:26" x14ac:dyDescent="0.3">
      <c r="B1297" s="40"/>
      <c r="Q1297" s="40"/>
      <c r="W1297" s="63">
        <v>0.47847222222222219</v>
      </c>
      <c r="X1297" s="30">
        <v>116.4</v>
      </c>
      <c r="Y1297" s="30">
        <v>122.4</v>
      </c>
      <c r="Z1297" s="63">
        <v>0.47847222222222219</v>
      </c>
    </row>
    <row r="1298" spans="2:26" x14ac:dyDescent="0.3">
      <c r="C1298" s="64">
        <v>44256</v>
      </c>
      <c r="F1298" s="30">
        <f>AVERAGE(F1300,F1309)</f>
        <v>14737.150000000001</v>
      </c>
      <c r="G1298" s="65"/>
      <c r="H1298" s="66">
        <v>0.44444444444444442</v>
      </c>
      <c r="I1298" s="66">
        <v>0.51666666666666672</v>
      </c>
      <c r="J1298" s="66">
        <v>6.8749999999999992E-2</v>
      </c>
      <c r="K1298" s="66"/>
      <c r="L1298" s="66"/>
      <c r="M1298" s="66">
        <v>0.13541666666666666</v>
      </c>
      <c r="Q1298" s="40"/>
      <c r="W1298" s="63">
        <v>0.4993055555555555</v>
      </c>
      <c r="X1298" s="30">
        <v>102.05</v>
      </c>
      <c r="Y1298" s="30">
        <v>142.35</v>
      </c>
      <c r="Z1298" s="63">
        <v>0.4993055555555555</v>
      </c>
    </row>
    <row r="1299" spans="2:26" x14ac:dyDescent="0.3">
      <c r="B1299" s="34" t="s">
        <v>68</v>
      </c>
      <c r="C1299" s="63">
        <v>0.41666666666666669</v>
      </c>
      <c r="D1299" s="63">
        <v>0.3972222222222222</v>
      </c>
      <c r="H1299" s="23">
        <v>99.55</v>
      </c>
      <c r="I1299" s="23">
        <v>64.8</v>
      </c>
      <c r="J1299" s="23">
        <v>82.1</v>
      </c>
      <c r="K1299" s="7"/>
      <c r="L1299" s="7"/>
      <c r="M1299" s="7">
        <v>14795.05</v>
      </c>
      <c r="Q1299" s="145" t="s">
        <v>72</v>
      </c>
      <c r="R1299" s="145"/>
      <c r="S1299" s="145"/>
      <c r="T1299" s="145"/>
      <c r="U1299" s="83"/>
      <c r="W1299" s="63">
        <v>0.52013888888888882</v>
      </c>
      <c r="X1299" s="30">
        <v>84.65</v>
      </c>
      <c r="Y1299" s="30">
        <v>161</v>
      </c>
      <c r="Z1299" s="63">
        <v>0.52013888888888882</v>
      </c>
    </row>
    <row r="1300" spans="2:26" x14ac:dyDescent="0.3">
      <c r="B1300" s="26">
        <f>B1301-50</f>
        <v>14750</v>
      </c>
      <c r="C1300" s="30">
        <v>167.95</v>
      </c>
      <c r="D1300" s="30">
        <v>140.94999999999999</v>
      </c>
      <c r="E1300" s="40"/>
      <c r="F1300" s="30">
        <f t="shared" ref="F1300:F1305" si="78">B1300+D1300</f>
        <v>14890.95</v>
      </c>
      <c r="H1300" s="7">
        <v>196.7</v>
      </c>
      <c r="I1300" s="7">
        <v>127.25</v>
      </c>
      <c r="J1300" s="7">
        <v>170.55</v>
      </c>
      <c r="K1300" s="7"/>
      <c r="L1300" s="7"/>
      <c r="M1300" s="7">
        <v>152.65</v>
      </c>
      <c r="Q1300" s="26"/>
      <c r="R1300" s="34" t="s">
        <v>2</v>
      </c>
      <c r="S1300" s="34" t="s">
        <v>111</v>
      </c>
      <c r="T1300" s="34" t="s">
        <v>1</v>
      </c>
      <c r="U1300" s="84"/>
      <c r="W1300" s="63">
        <v>0.54097222222222219</v>
      </c>
      <c r="X1300" s="30">
        <v>99.8</v>
      </c>
      <c r="Y1300" s="30">
        <v>136.19999999999999</v>
      </c>
      <c r="Z1300" s="63">
        <v>0.54097222222222219</v>
      </c>
    </row>
    <row r="1301" spans="2:26" x14ac:dyDescent="0.3">
      <c r="B1301" s="26">
        <f>B1302-50</f>
        <v>14800</v>
      </c>
      <c r="C1301" s="30">
        <v>144.35</v>
      </c>
      <c r="D1301" s="7">
        <v>120.85</v>
      </c>
      <c r="E1301" s="40"/>
      <c r="F1301" s="30">
        <f t="shared" si="78"/>
        <v>14920.85</v>
      </c>
      <c r="H1301" s="7">
        <v>169.05</v>
      </c>
      <c r="I1301" s="7">
        <v>107.45</v>
      </c>
      <c r="J1301" s="7">
        <v>145.05000000000001</v>
      </c>
      <c r="K1301" s="7"/>
      <c r="L1301" s="7"/>
      <c r="M1301" s="7">
        <v>126.55</v>
      </c>
      <c r="Q1301" s="30">
        <f>(T1301-R1301)*S1301</f>
        <v>-1815.0000000000002</v>
      </c>
      <c r="R1301" s="30">
        <v>101.3</v>
      </c>
      <c r="S1301" s="26">
        <v>75</v>
      </c>
      <c r="T1301" s="30">
        <v>77.099999999999994</v>
      </c>
      <c r="U1301" s="85"/>
      <c r="W1301" s="63">
        <v>6.1805555555555558E-2</v>
      </c>
      <c r="X1301" s="30">
        <v>112.4</v>
      </c>
      <c r="Y1301" s="30">
        <v>108</v>
      </c>
      <c r="Z1301" s="63">
        <v>6.1805555555555558E-2</v>
      </c>
    </row>
    <row r="1302" spans="2:26" x14ac:dyDescent="0.3">
      <c r="B1302" s="79">
        <v>14850</v>
      </c>
      <c r="C1302" s="30">
        <v>122.15</v>
      </c>
      <c r="D1302" s="7">
        <v>103.25</v>
      </c>
      <c r="E1302" s="40"/>
      <c r="F1302" s="30">
        <f t="shared" si="78"/>
        <v>14953.25</v>
      </c>
      <c r="H1302" s="7">
        <v>143.75</v>
      </c>
      <c r="I1302" s="7">
        <v>89.4</v>
      </c>
      <c r="J1302" s="7">
        <v>121.8</v>
      </c>
      <c r="K1302" s="7"/>
      <c r="L1302" s="7"/>
      <c r="M1302" s="7">
        <v>103.35</v>
      </c>
      <c r="Q1302" s="30">
        <f>(T1302-R1302)*S1302</f>
        <v>-1815.0000000000002</v>
      </c>
      <c r="R1302" s="30">
        <v>101.3</v>
      </c>
      <c r="S1302" s="26">
        <v>75</v>
      </c>
      <c r="T1302" s="30">
        <v>77.099999999999994</v>
      </c>
      <c r="U1302" s="85"/>
      <c r="W1302" s="63">
        <v>8.2638888888888887E-2</v>
      </c>
      <c r="X1302" s="30">
        <v>105.35</v>
      </c>
      <c r="Y1302" s="30">
        <v>113.1</v>
      </c>
      <c r="Z1302" s="63">
        <v>8.2638888888888887E-2</v>
      </c>
    </row>
    <row r="1303" spans="2:26" x14ac:dyDescent="0.3">
      <c r="B1303" s="26">
        <f>B1302+50</f>
        <v>14900</v>
      </c>
      <c r="C1303" s="30">
        <v>103.2</v>
      </c>
      <c r="D1303" s="7">
        <v>87.45</v>
      </c>
      <c r="E1303" s="40"/>
      <c r="F1303" s="50">
        <f t="shared" si="78"/>
        <v>14987.45</v>
      </c>
      <c r="H1303" s="7">
        <v>121.3</v>
      </c>
      <c r="I1303" s="7">
        <v>74.25</v>
      </c>
      <c r="J1303" s="7">
        <v>100.8</v>
      </c>
      <c r="K1303" s="7"/>
      <c r="L1303" s="7"/>
      <c r="M1303" s="7">
        <v>83.75</v>
      </c>
      <c r="Q1303" s="30">
        <f>(T1303-R1303)*S1303</f>
        <v>0</v>
      </c>
      <c r="R1303" s="30"/>
      <c r="S1303" s="26"/>
      <c r="T1303" s="30"/>
      <c r="U1303" s="85"/>
    </row>
    <row r="1304" spans="2:26" x14ac:dyDescent="0.3">
      <c r="B1304" s="72">
        <f>B1303+50</f>
        <v>14950</v>
      </c>
      <c r="C1304" s="51">
        <v>86.45</v>
      </c>
      <c r="D1304" s="30">
        <v>73.3</v>
      </c>
      <c r="E1304" s="40"/>
      <c r="F1304" s="30">
        <f t="shared" si="78"/>
        <v>15023.3</v>
      </c>
      <c r="H1304" s="7">
        <v>101.3</v>
      </c>
      <c r="I1304" s="7">
        <v>60.7</v>
      </c>
      <c r="J1304" s="7">
        <v>82.7</v>
      </c>
      <c r="K1304" s="7"/>
      <c r="L1304" s="7"/>
      <c r="M1304" s="7">
        <v>67.05</v>
      </c>
      <c r="Q1304" s="30"/>
      <c r="R1304" s="30"/>
      <c r="S1304" s="26"/>
      <c r="T1304" s="30"/>
      <c r="U1304" s="85"/>
      <c r="W1304" s="34" t="s">
        <v>68</v>
      </c>
      <c r="X1304" s="56" t="s">
        <v>69</v>
      </c>
      <c r="Y1304" s="57" t="s">
        <v>70</v>
      </c>
      <c r="Z1304" s="34" t="s">
        <v>68</v>
      </c>
    </row>
    <row r="1305" spans="2:26" x14ac:dyDescent="0.3">
      <c r="B1305" s="26">
        <f>B1304+50</f>
        <v>15000</v>
      </c>
      <c r="C1305" s="30">
        <v>71.150000000000006</v>
      </c>
      <c r="D1305" s="30">
        <v>61.45</v>
      </c>
      <c r="E1305" s="40"/>
      <c r="F1305" s="30">
        <f t="shared" si="78"/>
        <v>15061.45</v>
      </c>
      <c r="H1305" s="7">
        <v>83.8</v>
      </c>
      <c r="I1305" s="7">
        <v>49.15</v>
      </c>
      <c r="J1305" s="7">
        <v>66.900000000000006</v>
      </c>
      <c r="K1305" s="7"/>
      <c r="L1305" s="7"/>
      <c r="M1305" s="7">
        <v>52.85</v>
      </c>
      <c r="Q1305" s="26" t="s">
        <v>112</v>
      </c>
      <c r="R1305" s="30">
        <f>SUM(Q1301:Q1304)</f>
        <v>-3630.0000000000005</v>
      </c>
      <c r="S1305" s="26">
        <f>SUM(S1301:S1304)</f>
        <v>150</v>
      </c>
      <c r="T1305" s="26">
        <f>(R1305/S1305)*2</f>
        <v>-48.400000000000006</v>
      </c>
      <c r="U1305" s="48"/>
      <c r="W1305" s="63">
        <v>0.41597222222222219</v>
      </c>
      <c r="X1305" s="7">
        <v>86.45</v>
      </c>
      <c r="Y1305" s="7">
        <v>82.1</v>
      </c>
      <c r="Z1305" s="63">
        <v>0.41597222222222219</v>
      </c>
    </row>
    <row r="1306" spans="2:26" x14ac:dyDescent="0.3">
      <c r="D1306" s="40"/>
      <c r="E1306" s="40">
        <f>F1306-(G1306-F1306)</f>
        <v>82.175000000000011</v>
      </c>
      <c r="F1306" s="40">
        <f>AVERAGE(C1303,C1313)</f>
        <v>99.550000000000011</v>
      </c>
      <c r="G1306" s="40">
        <f>AVERAGE(C1302,C1312)</f>
        <v>116.92500000000001</v>
      </c>
      <c r="H1306" s="17"/>
      <c r="I1306" s="17"/>
      <c r="J1306" s="76"/>
      <c r="K1306" s="76"/>
      <c r="L1306" s="17"/>
      <c r="M1306" s="17"/>
      <c r="V1306" s="40"/>
      <c r="W1306" s="63">
        <v>0.4368055555555555</v>
      </c>
      <c r="X1306" s="7">
        <v>96.85</v>
      </c>
      <c r="Y1306" s="7">
        <v>66.150000000000006</v>
      </c>
      <c r="Z1306" s="63">
        <v>0.4368055555555555</v>
      </c>
    </row>
    <row r="1307" spans="2:26" x14ac:dyDescent="0.3">
      <c r="C1307" s="64">
        <v>44259</v>
      </c>
      <c r="E1307" s="40">
        <f>E1306-(F1306-E1306)</f>
        <v>64.800000000000011</v>
      </c>
      <c r="F1307" s="40"/>
      <c r="G1307" s="40"/>
      <c r="H1307" s="66">
        <v>0.44444444444444442</v>
      </c>
      <c r="I1307" s="66">
        <v>0.51666666666666672</v>
      </c>
      <c r="J1307" s="66">
        <v>6.8749999999999992E-2</v>
      </c>
      <c r="K1307" s="66"/>
      <c r="L1307" s="66"/>
      <c r="M1307" s="66">
        <v>0.13472222222222222</v>
      </c>
      <c r="Q1307" s="30">
        <f>(T1307-R1307)*S1307</f>
        <v>0</v>
      </c>
      <c r="R1307" s="86"/>
      <c r="S1307" s="26"/>
      <c r="T1307" s="30"/>
      <c r="U1307" s="85"/>
      <c r="W1307" s="63">
        <v>0.45763888888888887</v>
      </c>
      <c r="X1307" s="7">
        <v>97.85</v>
      </c>
      <c r="Y1307" s="7">
        <v>64.400000000000006</v>
      </c>
      <c r="Z1307" s="63">
        <v>0.45763888888888887</v>
      </c>
    </row>
    <row r="1308" spans="2:26" x14ac:dyDescent="0.3">
      <c r="B1308" s="34" t="s">
        <v>68</v>
      </c>
      <c r="C1308" s="63">
        <v>0.41666666666666669</v>
      </c>
      <c r="D1308" s="63">
        <v>0.40763888888888888</v>
      </c>
      <c r="E1308" s="40">
        <f>F1308-(G1308-F1308)</f>
        <v>82.175000000000011</v>
      </c>
      <c r="F1308" s="40">
        <f>AVERAGE(C1313,C1303)</f>
        <v>99.550000000000011</v>
      </c>
      <c r="G1308" s="40">
        <f>AVERAGE(C1312,C1302)</f>
        <v>116.92500000000001</v>
      </c>
      <c r="H1308" s="7">
        <v>14834.9</v>
      </c>
      <c r="I1308" s="7">
        <v>14697.55</v>
      </c>
      <c r="J1308" s="7">
        <v>14813.45</v>
      </c>
      <c r="K1308" s="7"/>
      <c r="L1308" s="7"/>
      <c r="M1308" s="7">
        <v>14795.05</v>
      </c>
      <c r="Q1308" s="30">
        <f>(T1308-R1308)*S1308</f>
        <v>0</v>
      </c>
      <c r="R1308" s="86"/>
      <c r="S1308" s="26"/>
      <c r="T1308" s="30"/>
      <c r="U1308" s="85"/>
      <c r="W1308" s="63">
        <v>0.47847222222222219</v>
      </c>
      <c r="X1308" s="7">
        <v>80.599999999999994</v>
      </c>
      <c r="Y1308" s="7">
        <v>76</v>
      </c>
      <c r="Z1308" s="63">
        <v>0.47847222222222219</v>
      </c>
    </row>
    <row r="1309" spans="2:26" x14ac:dyDescent="0.3">
      <c r="B1309" s="26">
        <f>B1310+50</f>
        <v>14750</v>
      </c>
      <c r="C1309" s="30">
        <v>173.35</v>
      </c>
      <c r="D1309" s="7">
        <v>166.65</v>
      </c>
      <c r="E1309" s="40"/>
      <c r="F1309" s="30">
        <f t="shared" ref="F1309:F1314" si="79">B1309-D1309</f>
        <v>14583.35</v>
      </c>
      <c r="H1309" s="7">
        <v>136</v>
      </c>
      <c r="I1309" s="7">
        <v>208</v>
      </c>
      <c r="J1309" s="7">
        <v>135.35</v>
      </c>
      <c r="K1309" s="7"/>
      <c r="L1309" s="7"/>
      <c r="M1309" s="7">
        <v>133.6</v>
      </c>
      <c r="Q1309" s="30"/>
      <c r="R1309" s="86"/>
      <c r="S1309" s="72"/>
      <c r="T1309" s="86"/>
      <c r="U1309" s="74"/>
      <c r="V1309" s="40"/>
      <c r="W1309" s="63">
        <v>0.4993055555555555</v>
      </c>
      <c r="X1309" s="7">
        <v>70.75</v>
      </c>
      <c r="Y1309" s="7">
        <v>88.55</v>
      </c>
      <c r="Z1309" s="63">
        <v>0.4993055555555555</v>
      </c>
    </row>
    <row r="1310" spans="2:26" x14ac:dyDescent="0.3">
      <c r="B1310" s="26">
        <f>B1311+50</f>
        <v>14700</v>
      </c>
      <c r="C1310" s="30">
        <v>150.75</v>
      </c>
      <c r="D1310" s="7">
        <v>143.9</v>
      </c>
      <c r="E1310" s="40"/>
      <c r="F1310" s="30">
        <f t="shared" si="79"/>
        <v>14556.1</v>
      </c>
      <c r="H1310" s="7">
        <v>117.4</v>
      </c>
      <c r="I1310" s="7">
        <v>180.15</v>
      </c>
      <c r="J1310" s="7">
        <v>114.7</v>
      </c>
      <c r="K1310" s="7"/>
      <c r="L1310" s="7"/>
      <c r="M1310" s="7">
        <v>111.45</v>
      </c>
      <c r="Q1310" s="86"/>
      <c r="R1310" s="86"/>
      <c r="S1310" s="72"/>
      <c r="T1310" s="86"/>
      <c r="U1310" s="74"/>
      <c r="V1310" s="40"/>
      <c r="W1310" s="63">
        <v>0.52013888888888882</v>
      </c>
      <c r="X1310" s="7">
        <v>57.15</v>
      </c>
      <c r="Y1310" s="7">
        <v>99.65</v>
      </c>
      <c r="Z1310" s="63">
        <v>0.52013888888888882</v>
      </c>
    </row>
    <row r="1311" spans="2:26" x14ac:dyDescent="0.3">
      <c r="B1311" s="79">
        <v>14650</v>
      </c>
      <c r="C1311" s="30">
        <v>130</v>
      </c>
      <c r="D1311" s="7">
        <v>123.9</v>
      </c>
      <c r="E1311" s="40"/>
      <c r="F1311" s="30">
        <f t="shared" si="79"/>
        <v>14526.1</v>
      </c>
      <c r="H1311" s="7">
        <v>100.5</v>
      </c>
      <c r="I1311" s="7">
        <v>155.94999999999999</v>
      </c>
      <c r="J1311" s="7">
        <v>96.4</v>
      </c>
      <c r="K1311" s="7"/>
      <c r="L1311" s="7"/>
      <c r="M1311" s="7">
        <v>93</v>
      </c>
      <c r="Q1311" s="26" t="s">
        <v>112</v>
      </c>
      <c r="R1311" s="30">
        <f>SUM(Q1307:Q1310)</f>
        <v>0</v>
      </c>
      <c r="S1311" s="26">
        <f>SUM(S1307:S1310)</f>
        <v>0</v>
      </c>
      <c r="T1311" s="26" t="e">
        <f>(R1311/S1311)*2</f>
        <v>#DIV/0!</v>
      </c>
      <c r="U1311" s="48"/>
      <c r="W1311" s="63">
        <v>0.54097222222222219</v>
      </c>
      <c r="X1311" s="7">
        <v>67.55</v>
      </c>
      <c r="Y1311" s="7">
        <v>83.65</v>
      </c>
      <c r="Z1311" s="63">
        <v>0.54097222222222219</v>
      </c>
    </row>
    <row r="1312" spans="2:26" x14ac:dyDescent="0.3">
      <c r="B1312" s="73">
        <f>B1311-50</f>
        <v>14600</v>
      </c>
      <c r="C1312" s="30">
        <v>111.7</v>
      </c>
      <c r="D1312" s="23">
        <v>106.2</v>
      </c>
      <c r="E1312" s="40"/>
      <c r="F1312" s="50">
        <f t="shared" si="79"/>
        <v>14493.8</v>
      </c>
      <c r="H1312" s="7">
        <v>85.85</v>
      </c>
      <c r="I1312" s="7">
        <v>133.55000000000001</v>
      </c>
      <c r="J1312" s="7">
        <v>80.099999999999994</v>
      </c>
      <c r="K1312" s="7"/>
      <c r="L1312" s="7"/>
      <c r="M1312" s="7">
        <v>76.8</v>
      </c>
      <c r="W1312" s="63">
        <v>6.1805555555555558E-2</v>
      </c>
      <c r="X1312" s="7">
        <v>75.95</v>
      </c>
      <c r="Y1312" s="7">
        <v>63.3</v>
      </c>
      <c r="Z1312" s="63">
        <v>6.1805555555555558E-2</v>
      </c>
    </row>
    <row r="1313" spans="2:26" x14ac:dyDescent="0.3">
      <c r="B1313" s="72">
        <f>B1312-50</f>
        <v>14550</v>
      </c>
      <c r="C1313" s="30">
        <v>95.9</v>
      </c>
      <c r="D1313" s="30">
        <v>90.05</v>
      </c>
      <c r="E1313" s="40"/>
      <c r="F1313" s="30">
        <f t="shared" si="79"/>
        <v>14459.95</v>
      </c>
      <c r="H1313" s="7">
        <v>72.900000000000006</v>
      </c>
      <c r="I1313" s="7">
        <v>114.05</v>
      </c>
      <c r="J1313" s="7">
        <v>66.3</v>
      </c>
      <c r="K1313" s="7"/>
      <c r="L1313" s="7"/>
      <c r="M1313" s="7">
        <v>63</v>
      </c>
      <c r="W1313" s="63">
        <v>8.2638888888888887E-2</v>
      </c>
      <c r="X1313" s="7">
        <v>70</v>
      </c>
      <c r="Y1313" s="7">
        <v>65.95</v>
      </c>
      <c r="Z1313" s="63">
        <v>8.2638888888888887E-2</v>
      </c>
    </row>
    <row r="1314" spans="2:26" x14ac:dyDescent="0.3">
      <c r="B1314" s="26">
        <f>B1313-50</f>
        <v>14500</v>
      </c>
      <c r="C1314" s="51">
        <v>82.1</v>
      </c>
      <c r="D1314" s="30">
        <v>76.55</v>
      </c>
      <c r="E1314" s="40"/>
      <c r="F1314" s="30">
        <f t="shared" si="79"/>
        <v>14423.45</v>
      </c>
      <c r="H1314" s="7">
        <v>62.25</v>
      </c>
      <c r="I1314" s="7">
        <v>96.4</v>
      </c>
      <c r="J1314" s="7">
        <v>55.05</v>
      </c>
      <c r="K1314" s="7"/>
      <c r="L1314" s="7"/>
      <c r="M1314" s="7">
        <v>51.7</v>
      </c>
      <c r="P1314" s="50">
        <f>SUM(R1305,R1311)</f>
        <v>-3630.0000000000005</v>
      </c>
      <c r="Q1314" s="87">
        <f>P1314/75</f>
        <v>-48.400000000000006</v>
      </c>
      <c r="R1314" s="57" t="s">
        <v>72</v>
      </c>
      <c r="S1314" s="57" t="s">
        <v>73</v>
      </c>
      <c r="T1314" s="23">
        <f>((X1306+Y1306)-(X1314+Y1314))</f>
        <v>-18.649999999999977</v>
      </c>
      <c r="U1314" s="23"/>
      <c r="V1314" s="50">
        <f>T1314*M1294</f>
        <v>-1398.7499999999982</v>
      </c>
      <c r="W1314" s="63">
        <v>0.44444444444444442</v>
      </c>
      <c r="X1314" s="23">
        <v>99.55</v>
      </c>
      <c r="Y1314" s="30">
        <v>82.1</v>
      </c>
      <c r="Z1314" s="63">
        <v>0.48680555555555555</v>
      </c>
    </row>
    <row r="1315" spans="2:26" x14ac:dyDescent="0.3">
      <c r="H1315" s="76">
        <v>52.95</v>
      </c>
    </row>
    <row r="1326" spans="2:26" x14ac:dyDescent="0.3">
      <c r="B1326" s="40"/>
      <c r="C1326" s="50">
        <f>AVERAGE(B1327,D1326)</f>
        <v>14967</v>
      </c>
      <c r="D1326" s="51">
        <f>B1327+E1327</f>
        <v>15012</v>
      </c>
      <c r="E1326" s="50">
        <f>D1326+E1327</f>
        <v>15102</v>
      </c>
      <c r="F1326" s="21"/>
      <c r="G1326" s="17"/>
      <c r="H1326" s="88" t="str">
        <f>IF((C1335-D1335)&gt;(C1344-D1344),"LONG",IF(C1344&gt;D1342,"LONG","SHORT"))</f>
        <v>LONG</v>
      </c>
      <c r="I1326" s="146" t="s">
        <v>114</v>
      </c>
      <c r="J1326" s="147"/>
      <c r="K1326" s="148"/>
      <c r="L1326" s="17"/>
      <c r="M1326" s="17"/>
      <c r="N1326" s="17"/>
      <c r="P1326" s="17"/>
      <c r="Q1326" s="149" t="s">
        <v>71</v>
      </c>
      <c r="R1326" s="149"/>
      <c r="S1326" s="149" t="s">
        <v>37</v>
      </c>
      <c r="T1326" s="149"/>
      <c r="U1326" s="89"/>
      <c r="V1326" s="17"/>
      <c r="W1326" s="90" t="s">
        <v>68</v>
      </c>
      <c r="X1326" s="91" t="s">
        <v>69</v>
      </c>
      <c r="Y1326" s="92" t="s">
        <v>70</v>
      </c>
      <c r="Z1326" s="90" t="s">
        <v>68</v>
      </c>
    </row>
    <row r="1327" spans="2:26" x14ac:dyDescent="0.3">
      <c r="B1327" s="50">
        <v>14922</v>
      </c>
      <c r="C1327" s="40"/>
      <c r="D1327" s="58"/>
      <c r="E1327" s="59">
        <f>ROUND((((B1327*F1327%)/4)/10),0)*10</f>
        <v>90</v>
      </c>
      <c r="F1327" s="51">
        <f>(100/B1327)*(F1336-F1345)</f>
        <v>2.512732877630349</v>
      </c>
      <c r="G1327" s="17"/>
      <c r="H1327" s="93">
        <v>0.39166666666666666</v>
      </c>
      <c r="I1327" s="93">
        <v>0.39861111111111108</v>
      </c>
      <c r="J1327" s="93">
        <v>0.4055555555555555</v>
      </c>
      <c r="K1327" s="93">
        <v>0.41250000000000003</v>
      </c>
      <c r="L1327" s="17"/>
      <c r="M1327" s="94">
        <f>ROUND((50000/(72*2))/225,0)*75</f>
        <v>150</v>
      </c>
      <c r="N1327" s="17"/>
      <c r="P1327" s="17"/>
      <c r="Q1327" s="51">
        <f>R1327-(S1327-R1327)</f>
        <v>14127.099999999999</v>
      </c>
      <c r="R1327" s="51">
        <v>14639.55</v>
      </c>
      <c r="S1327" s="51">
        <v>15152</v>
      </c>
      <c r="T1327" s="51">
        <f>S1327+(S1327-R1327)</f>
        <v>15664.45</v>
      </c>
      <c r="U1327" s="62"/>
      <c r="V1327" s="17"/>
      <c r="W1327" s="66">
        <v>0.41597222222222219</v>
      </c>
      <c r="X1327" s="7">
        <v>71.7</v>
      </c>
      <c r="Y1327" s="7">
        <v>100.05</v>
      </c>
      <c r="Z1327" s="66">
        <v>0.41597222222222219</v>
      </c>
    </row>
    <row r="1328" spans="2:26" x14ac:dyDescent="0.3">
      <c r="B1328" s="40"/>
      <c r="C1328" s="50">
        <f>AVERAGE(B1327,D1328)</f>
        <v>14877</v>
      </c>
      <c r="D1328" s="51">
        <f>B1327-E1327</f>
        <v>14832</v>
      </c>
      <c r="E1328" s="50">
        <f>D1328-E1327</f>
        <v>14742</v>
      </c>
      <c r="F1328" s="21"/>
      <c r="G1328" s="17"/>
      <c r="H1328" s="51">
        <v>14900.05</v>
      </c>
      <c r="I1328" s="51">
        <v>14911.95</v>
      </c>
      <c r="J1328" s="51">
        <v>14905</v>
      </c>
      <c r="K1328" s="51">
        <v>14910</v>
      </c>
      <c r="L1328" s="17"/>
      <c r="M1328" s="17"/>
      <c r="N1328" s="17"/>
      <c r="P1328" s="17"/>
      <c r="Q1328" s="17"/>
      <c r="R1328" s="17"/>
      <c r="S1328" s="17"/>
      <c r="T1328" s="16"/>
      <c r="U1328" s="16"/>
      <c r="V1328" s="17"/>
      <c r="W1328" s="66">
        <v>0.4368055555555555</v>
      </c>
      <c r="X1328" s="7">
        <v>74.099999999999994</v>
      </c>
      <c r="Y1328" s="7">
        <v>96.95</v>
      </c>
      <c r="Z1328" s="66">
        <v>0.4368055555555555</v>
      </c>
    </row>
    <row r="1329" spans="2:26" x14ac:dyDescent="0.3">
      <c r="B1329" s="17"/>
      <c r="C1329" s="17"/>
      <c r="D1329" s="17"/>
      <c r="E1329" s="17"/>
      <c r="F1329" s="16"/>
      <c r="G1329" s="16"/>
      <c r="H1329" s="17"/>
      <c r="I1329" s="17"/>
      <c r="J1329" s="17"/>
      <c r="K1329" s="16"/>
      <c r="L1329" s="17"/>
      <c r="M1329" s="17"/>
      <c r="N1329" s="17"/>
      <c r="P1329" s="17"/>
      <c r="Q1329" s="17"/>
      <c r="R1329" s="17"/>
      <c r="S1329" s="17"/>
      <c r="T1329" s="17"/>
      <c r="U1329" s="17"/>
      <c r="V1329" s="17"/>
      <c r="W1329" s="66">
        <v>0.45763888888888887</v>
      </c>
      <c r="X1329" s="7">
        <v>61</v>
      </c>
      <c r="Y1329" s="7">
        <v>111.85</v>
      </c>
      <c r="Z1329" s="66">
        <v>0.45763888888888887</v>
      </c>
    </row>
    <row r="1330" spans="2:26" x14ac:dyDescent="0.3">
      <c r="B1330" s="16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P1330" s="16"/>
      <c r="Q1330" s="17"/>
      <c r="R1330" s="17"/>
      <c r="S1330" s="17"/>
      <c r="T1330" s="17"/>
      <c r="U1330" s="17"/>
      <c r="V1330" s="17"/>
      <c r="W1330" s="66">
        <v>0.47847222222222219</v>
      </c>
      <c r="X1330" s="7">
        <v>40.5</v>
      </c>
      <c r="Y1330" s="7">
        <v>155.9</v>
      </c>
      <c r="Z1330" s="66">
        <v>0.47847222222222219</v>
      </c>
    </row>
    <row r="1331" spans="2:26" x14ac:dyDescent="0.3">
      <c r="B1331" s="17"/>
      <c r="C1331" s="95">
        <v>44257</v>
      </c>
      <c r="D1331" s="17"/>
      <c r="E1331" s="17"/>
      <c r="F1331" s="7">
        <f>AVERAGE(F1333,F1342)</f>
        <v>14898.099999999999</v>
      </c>
      <c r="G1331" s="96"/>
      <c r="H1331" s="66">
        <v>0.44444444444444442</v>
      </c>
      <c r="I1331" s="66">
        <v>0.46875</v>
      </c>
      <c r="J1331" s="66">
        <v>7.4305555555555555E-2</v>
      </c>
      <c r="K1331" s="66"/>
      <c r="L1331" s="66"/>
      <c r="M1331" s="66">
        <v>0.13541666666666666</v>
      </c>
      <c r="N1331" s="17"/>
      <c r="P1331" s="16"/>
      <c r="Q1331" s="17"/>
      <c r="R1331" s="17"/>
      <c r="S1331" s="17"/>
      <c r="T1331" s="17"/>
      <c r="U1331" s="17"/>
      <c r="V1331" s="17"/>
      <c r="W1331" s="66">
        <v>0.4993055555555555</v>
      </c>
      <c r="X1331" s="7">
        <v>48.3</v>
      </c>
      <c r="Y1331" s="7">
        <v>118.8</v>
      </c>
      <c r="Z1331" s="66">
        <v>0.4993055555555555</v>
      </c>
    </row>
    <row r="1332" spans="2:26" x14ac:dyDescent="0.3">
      <c r="B1332" s="90" t="s">
        <v>68</v>
      </c>
      <c r="C1332" s="66">
        <v>0.41666666666666669</v>
      </c>
      <c r="D1332" s="66">
        <v>0.38611111111111113</v>
      </c>
      <c r="E1332" s="17"/>
      <c r="F1332" s="17"/>
      <c r="G1332" s="17"/>
      <c r="H1332" s="7">
        <v>14884</v>
      </c>
      <c r="I1332" s="7">
        <v>14805.05</v>
      </c>
      <c r="J1332" s="7">
        <v>14914.85</v>
      </c>
      <c r="K1332" s="23"/>
      <c r="L1332" s="7"/>
      <c r="M1332" s="7">
        <v>14969.85</v>
      </c>
      <c r="N1332" s="17"/>
      <c r="P1332" s="17"/>
      <c r="Q1332" s="145" t="s">
        <v>72</v>
      </c>
      <c r="R1332" s="145"/>
      <c r="S1332" s="145"/>
      <c r="T1332" s="145"/>
      <c r="U1332" s="83"/>
      <c r="V1332" s="17"/>
      <c r="W1332" s="66">
        <v>0.52013888888888882</v>
      </c>
      <c r="X1332" s="7">
        <v>42.25</v>
      </c>
      <c r="Y1332" s="7">
        <v>127.5</v>
      </c>
      <c r="Z1332" s="66">
        <v>0.52013888888888882</v>
      </c>
    </row>
    <row r="1333" spans="2:26" x14ac:dyDescent="0.3">
      <c r="B1333" s="5">
        <f>B1334-50</f>
        <v>14900</v>
      </c>
      <c r="C1333" s="7">
        <v>118</v>
      </c>
      <c r="D1333" s="7">
        <v>92.8</v>
      </c>
      <c r="E1333" s="16"/>
      <c r="F1333" s="7">
        <f t="shared" ref="F1333:F1338" si="80">B1333+D1333</f>
        <v>14992.8</v>
      </c>
      <c r="G1333" s="17"/>
      <c r="H1333" s="7">
        <v>97.9</v>
      </c>
      <c r="I1333" s="7">
        <v>70.599999999999994</v>
      </c>
      <c r="J1333" s="7">
        <v>96</v>
      </c>
      <c r="K1333" s="7"/>
      <c r="L1333" s="7"/>
      <c r="M1333" s="7">
        <v>124.6</v>
      </c>
      <c r="N1333" s="17"/>
      <c r="P1333" s="17"/>
      <c r="Q1333" s="26"/>
      <c r="R1333" s="34" t="s">
        <v>2</v>
      </c>
      <c r="S1333" s="34" t="s">
        <v>111</v>
      </c>
      <c r="T1333" s="34" t="s">
        <v>1</v>
      </c>
      <c r="U1333" s="84"/>
      <c r="V1333" s="17"/>
      <c r="W1333" s="66">
        <v>0.54097222222222219</v>
      </c>
      <c r="X1333" s="7">
        <v>41.1</v>
      </c>
      <c r="Y1333" s="7">
        <v>129.15</v>
      </c>
      <c r="Z1333" s="66">
        <v>0.54097222222222219</v>
      </c>
    </row>
    <row r="1334" spans="2:26" x14ac:dyDescent="0.3">
      <c r="B1334" s="5">
        <f>B1335-50</f>
        <v>14950</v>
      </c>
      <c r="C1334" s="7">
        <v>93</v>
      </c>
      <c r="D1334" s="7">
        <v>73.3</v>
      </c>
      <c r="E1334" s="16"/>
      <c r="F1334" s="7">
        <f t="shared" si="80"/>
        <v>15023.3</v>
      </c>
      <c r="G1334" s="17"/>
      <c r="H1334" s="7">
        <v>76</v>
      </c>
      <c r="I1334" s="7">
        <v>53.65</v>
      </c>
      <c r="J1334" s="7">
        <v>72.7</v>
      </c>
      <c r="K1334" s="7"/>
      <c r="L1334" s="7"/>
      <c r="M1334" s="7">
        <v>96.6</v>
      </c>
      <c r="N1334" s="17"/>
      <c r="P1334" s="17"/>
      <c r="Q1334" s="7">
        <f>(T1334-R1334)*S1334</f>
        <v>0</v>
      </c>
      <c r="R1334" s="7"/>
      <c r="S1334" s="5"/>
      <c r="T1334" s="7"/>
      <c r="U1334" s="70"/>
      <c r="V1334" s="17"/>
      <c r="W1334" s="66">
        <v>6.1805555555555558E-2</v>
      </c>
      <c r="X1334" s="7">
        <v>39.049999999999997</v>
      </c>
      <c r="Y1334" s="7">
        <v>132.19999999999999</v>
      </c>
      <c r="Z1334" s="66">
        <v>6.1805555555555558E-2</v>
      </c>
    </row>
    <row r="1335" spans="2:26" x14ac:dyDescent="0.3">
      <c r="B1335" s="97">
        <v>15000</v>
      </c>
      <c r="C1335" s="7">
        <v>71.7</v>
      </c>
      <c r="D1335" s="7">
        <v>57.1</v>
      </c>
      <c r="E1335" s="16"/>
      <c r="F1335" s="7">
        <f t="shared" si="80"/>
        <v>15057.1</v>
      </c>
      <c r="G1335" s="17"/>
      <c r="H1335" s="7">
        <v>57.2</v>
      </c>
      <c r="I1335" s="7">
        <v>39.6</v>
      </c>
      <c r="J1335" s="7">
        <v>53.4</v>
      </c>
      <c r="K1335" s="7"/>
      <c r="L1335" s="7"/>
      <c r="M1335" s="7">
        <v>72</v>
      </c>
      <c r="N1335" s="17"/>
      <c r="P1335" s="17"/>
      <c r="Q1335" s="7">
        <f>(T1335-R1335)*S1335</f>
        <v>0</v>
      </c>
      <c r="R1335" s="7"/>
      <c r="S1335" s="5"/>
      <c r="T1335" s="7"/>
      <c r="U1335" s="70"/>
      <c r="V1335" s="17"/>
      <c r="W1335" s="66">
        <v>8.2638888888888887E-2</v>
      </c>
      <c r="X1335" s="7">
        <v>39.4</v>
      </c>
      <c r="Y1335" s="7">
        <v>112.2</v>
      </c>
      <c r="Z1335" s="66">
        <v>8.2638888888888887E-2</v>
      </c>
    </row>
    <row r="1336" spans="2:26" x14ac:dyDescent="0.3">
      <c r="B1336" s="5">
        <f>B1335+50</f>
        <v>15050</v>
      </c>
      <c r="C1336" s="51">
        <v>53.8</v>
      </c>
      <c r="D1336" s="23">
        <v>43.95</v>
      </c>
      <c r="E1336" s="16"/>
      <c r="F1336" s="98">
        <f t="shared" si="80"/>
        <v>15093.95</v>
      </c>
      <c r="G1336" s="17"/>
      <c r="H1336" s="7">
        <v>42</v>
      </c>
      <c r="I1336" s="7">
        <v>28.45</v>
      </c>
      <c r="J1336" s="7">
        <v>38.1</v>
      </c>
      <c r="K1336" s="7"/>
      <c r="L1336" s="7"/>
      <c r="M1336" s="7">
        <v>52.45</v>
      </c>
      <c r="N1336" s="17"/>
      <c r="P1336" s="17"/>
      <c r="Q1336" s="7">
        <f>(T1336-R1336)*S1336</f>
        <v>0</v>
      </c>
      <c r="R1336" s="7"/>
      <c r="S1336" s="5"/>
      <c r="T1336" s="7"/>
      <c r="U1336" s="70"/>
      <c r="V1336" s="17"/>
      <c r="W1336" s="17"/>
      <c r="X1336" s="17"/>
      <c r="Y1336" s="17"/>
      <c r="Z1336" s="17"/>
    </row>
    <row r="1337" spans="2:26" x14ac:dyDescent="0.3">
      <c r="B1337" s="99">
        <f>B1336+50</f>
        <v>15100</v>
      </c>
      <c r="C1337" s="7">
        <v>39.299999999999997</v>
      </c>
      <c r="D1337" s="7">
        <v>32.799999999999997</v>
      </c>
      <c r="E1337" s="16"/>
      <c r="F1337" s="7">
        <f t="shared" si="80"/>
        <v>15132.8</v>
      </c>
      <c r="G1337" s="17"/>
      <c r="H1337" s="7">
        <v>30.05</v>
      </c>
      <c r="I1337" s="7">
        <v>20.2</v>
      </c>
      <c r="J1337" s="7">
        <v>26.4</v>
      </c>
      <c r="K1337" s="7"/>
      <c r="L1337" s="7"/>
      <c r="M1337" s="7">
        <v>36.85</v>
      </c>
      <c r="N1337" s="17"/>
      <c r="P1337" s="17"/>
      <c r="Q1337" s="7">
        <f>(T1337-R1337)*S1337</f>
        <v>0</v>
      </c>
      <c r="R1337" s="7"/>
      <c r="S1337" s="5"/>
      <c r="T1337" s="7"/>
      <c r="U1337" s="70"/>
      <c r="V1337" s="17"/>
      <c r="W1337" s="90" t="s">
        <v>68</v>
      </c>
      <c r="X1337" s="91" t="s">
        <v>69</v>
      </c>
      <c r="Y1337" s="92" t="s">
        <v>70</v>
      </c>
      <c r="Z1337" s="90" t="s">
        <v>68</v>
      </c>
    </row>
    <row r="1338" spans="2:26" x14ac:dyDescent="0.3">
      <c r="B1338" s="5">
        <f>B1337+50</f>
        <v>15150</v>
      </c>
      <c r="C1338" s="7">
        <v>28.25</v>
      </c>
      <c r="D1338" s="7">
        <v>24.4</v>
      </c>
      <c r="E1338" s="16"/>
      <c r="F1338" s="7">
        <f t="shared" si="80"/>
        <v>15174.4</v>
      </c>
      <c r="G1338" s="17"/>
      <c r="H1338" s="7">
        <v>21.4</v>
      </c>
      <c r="I1338" s="7">
        <v>14.35</v>
      </c>
      <c r="J1338" s="7">
        <v>18.3</v>
      </c>
      <c r="K1338" s="7"/>
      <c r="L1338" s="7"/>
      <c r="M1338" s="7">
        <v>25.1</v>
      </c>
      <c r="N1338" s="17"/>
      <c r="P1338" s="17"/>
      <c r="Q1338" s="5" t="s">
        <v>112</v>
      </c>
      <c r="R1338" s="30">
        <f>SUM(Q1334:Q1337)</f>
        <v>0</v>
      </c>
      <c r="S1338" s="5">
        <f>SUM(S1334:S1337)</f>
        <v>0</v>
      </c>
      <c r="T1338" s="5" t="e">
        <f>(R1338/S1338)*2</f>
        <v>#DIV/0!</v>
      </c>
      <c r="U1338" s="100"/>
      <c r="V1338" s="17"/>
      <c r="W1338" s="66">
        <v>0.41597222222222219</v>
      </c>
      <c r="X1338" s="7">
        <v>53.8</v>
      </c>
      <c r="Y1338" s="7">
        <v>65.599999999999994</v>
      </c>
      <c r="Z1338" s="66">
        <v>0.41597222222222219</v>
      </c>
    </row>
    <row r="1339" spans="2:26" x14ac:dyDescent="0.3">
      <c r="B1339" s="17"/>
      <c r="C1339" s="17"/>
      <c r="D1339" s="16"/>
      <c r="E1339" s="16">
        <f>F1339-(G1339-F1339)</f>
        <v>50.250000000000014</v>
      </c>
      <c r="F1339" s="16">
        <f>AVERAGE(C1335,C1346)</f>
        <v>68.650000000000006</v>
      </c>
      <c r="G1339" s="16">
        <f>AVERAGE(C1334,C1345)</f>
        <v>87.05</v>
      </c>
      <c r="H1339" s="17"/>
      <c r="I1339" s="81"/>
      <c r="J1339" s="76"/>
      <c r="K1339" s="76"/>
      <c r="L1339" s="17"/>
      <c r="M1339" s="17"/>
      <c r="N1339" s="17"/>
      <c r="P1339" s="17"/>
      <c r="Q1339" s="17"/>
      <c r="R1339" s="17"/>
      <c r="S1339" s="17"/>
      <c r="T1339" s="17"/>
      <c r="U1339" s="17"/>
      <c r="V1339" s="16"/>
      <c r="W1339" s="66">
        <v>0.4368055555555555</v>
      </c>
      <c r="X1339" s="7">
        <v>55.65</v>
      </c>
      <c r="Y1339" s="7">
        <v>64.05</v>
      </c>
      <c r="Z1339" s="66">
        <v>0.4368055555555555</v>
      </c>
    </row>
    <row r="1340" spans="2:26" x14ac:dyDescent="0.3">
      <c r="B1340" s="17"/>
      <c r="C1340" s="95">
        <v>44259</v>
      </c>
      <c r="D1340" s="17"/>
      <c r="E1340" s="16">
        <f>E1339-(F1339-E1339)</f>
        <v>31.850000000000023</v>
      </c>
      <c r="F1340" s="16"/>
      <c r="G1340" s="16"/>
      <c r="H1340" s="66">
        <v>0.44444444444444442</v>
      </c>
      <c r="I1340" s="66">
        <v>0.46875</v>
      </c>
      <c r="J1340" s="66">
        <v>7.4305555555555555E-2</v>
      </c>
      <c r="K1340" s="66"/>
      <c r="L1340" s="66"/>
      <c r="M1340" s="66">
        <v>0.13541666666666666</v>
      </c>
      <c r="P1340" s="17"/>
      <c r="Q1340" s="7">
        <f>(T1340-R1340)*S1340</f>
        <v>1586.2500000000005</v>
      </c>
      <c r="R1340" s="18">
        <v>75.349999999999994</v>
      </c>
      <c r="S1340" s="5">
        <v>75</v>
      </c>
      <c r="T1340" s="7">
        <v>96.5</v>
      </c>
      <c r="U1340" s="70"/>
      <c r="V1340" s="17"/>
      <c r="W1340" s="66">
        <v>0.45763888888888887</v>
      </c>
      <c r="X1340" s="7">
        <v>45.1</v>
      </c>
      <c r="Y1340" s="7">
        <v>75.150000000000006</v>
      </c>
      <c r="Z1340" s="66">
        <v>0.45763888888888887</v>
      </c>
    </row>
    <row r="1341" spans="2:26" x14ac:dyDescent="0.3">
      <c r="B1341" s="90" t="s">
        <v>68</v>
      </c>
      <c r="C1341" s="66">
        <v>0.41666666666666669</v>
      </c>
      <c r="D1341" s="66">
        <v>0.4152777777777778</v>
      </c>
      <c r="E1341" s="16">
        <f>F1341-(G1341-F1341)</f>
        <v>56.275000000000006</v>
      </c>
      <c r="F1341" s="16">
        <f>AVERAGE(C1345,C1335)</f>
        <v>76.400000000000006</v>
      </c>
      <c r="G1341" s="16">
        <f>AVERAGE(C1344,C1334)</f>
        <v>96.525000000000006</v>
      </c>
      <c r="H1341" s="23">
        <v>76.400000000000006</v>
      </c>
      <c r="I1341" s="23">
        <v>96.5</v>
      </c>
      <c r="J1341" s="23">
        <v>56.2</v>
      </c>
      <c r="K1341" s="23"/>
      <c r="L1341" s="7"/>
      <c r="M1341" s="7">
        <v>14969.85</v>
      </c>
      <c r="P1341" s="17"/>
      <c r="Q1341" s="7">
        <f>(T1341-R1341)*S1341</f>
        <v>-108.74999999999915</v>
      </c>
      <c r="R1341" s="18">
        <v>75.349999999999994</v>
      </c>
      <c r="S1341" s="5">
        <v>75</v>
      </c>
      <c r="T1341" s="7">
        <v>73.900000000000006</v>
      </c>
      <c r="U1341" s="70"/>
      <c r="V1341" s="17"/>
      <c r="W1341" s="66">
        <v>0.47847222222222219</v>
      </c>
      <c r="X1341" s="7">
        <v>29.55</v>
      </c>
      <c r="Y1341" s="7">
        <v>107.85</v>
      </c>
      <c r="Z1341" s="66">
        <v>0.47847222222222219</v>
      </c>
    </row>
    <row r="1342" spans="2:26" x14ac:dyDescent="0.3">
      <c r="B1342" s="5">
        <f>B1343+50</f>
        <v>14950</v>
      </c>
      <c r="C1342" s="7">
        <v>146.75</v>
      </c>
      <c r="D1342" s="7">
        <v>146.6</v>
      </c>
      <c r="E1342" s="16">
        <f>E1341-(F1341-E1341)</f>
        <v>36.150000000000006</v>
      </c>
      <c r="F1342" s="7">
        <f t="shared" ref="F1342:F1347" si="81">B1342-D1342</f>
        <v>14803.4</v>
      </c>
      <c r="G1342" s="17"/>
      <c r="H1342" s="7">
        <v>165.85</v>
      </c>
      <c r="I1342" s="7">
        <v>219.7</v>
      </c>
      <c r="J1342" s="7">
        <v>135.75</v>
      </c>
      <c r="K1342" s="7"/>
      <c r="L1342" s="7"/>
      <c r="M1342" s="7">
        <v>105.6</v>
      </c>
      <c r="N1342" s="17"/>
      <c r="P1342" s="17"/>
      <c r="Q1342" s="7">
        <f t="shared" ref="Q1342:Q1343" si="82">(T1342-R1342)*S1342</f>
        <v>0</v>
      </c>
      <c r="R1342" s="18"/>
      <c r="S1342" s="99"/>
      <c r="T1342" s="18"/>
      <c r="U1342" s="101"/>
      <c r="V1342" s="16"/>
      <c r="W1342" s="66">
        <v>0.4993055555555555</v>
      </c>
      <c r="X1342" s="7">
        <v>34.6</v>
      </c>
      <c r="Y1342" s="7">
        <v>78.599999999999994</v>
      </c>
      <c r="Z1342" s="66">
        <v>0.4993055555555555</v>
      </c>
    </row>
    <row r="1343" spans="2:26" x14ac:dyDescent="0.3">
      <c r="B1343" s="5">
        <f>B1344+50</f>
        <v>14900</v>
      </c>
      <c r="C1343" s="7">
        <v>121.3</v>
      </c>
      <c r="D1343" s="7">
        <v>121.6</v>
      </c>
      <c r="E1343" s="16"/>
      <c r="F1343" s="7">
        <f t="shared" si="81"/>
        <v>14778.4</v>
      </c>
      <c r="G1343" s="17"/>
      <c r="H1343" s="7">
        <v>137.80000000000001</v>
      </c>
      <c r="I1343" s="7">
        <v>186.3</v>
      </c>
      <c r="J1343" s="7">
        <v>108.3</v>
      </c>
      <c r="K1343" s="7"/>
      <c r="L1343" s="7"/>
      <c r="M1343" s="7">
        <v>84.1</v>
      </c>
      <c r="N1343" s="17"/>
      <c r="P1343" s="17"/>
      <c r="Q1343" s="7">
        <f t="shared" si="82"/>
        <v>0</v>
      </c>
      <c r="R1343" s="18"/>
      <c r="S1343" s="99"/>
      <c r="T1343" s="18"/>
      <c r="U1343" s="101"/>
      <c r="V1343" s="16"/>
      <c r="W1343" s="66">
        <v>0.52013888888888882</v>
      </c>
      <c r="X1343" s="7">
        <v>30</v>
      </c>
      <c r="Y1343" s="7">
        <v>83.05</v>
      </c>
      <c r="Z1343" s="66">
        <v>0.52013888888888882</v>
      </c>
    </row>
    <row r="1344" spans="2:26" x14ac:dyDescent="0.3">
      <c r="B1344" s="97">
        <v>14850</v>
      </c>
      <c r="C1344" s="7">
        <v>100.05</v>
      </c>
      <c r="D1344" s="7">
        <v>99.7</v>
      </c>
      <c r="E1344" s="16"/>
      <c r="F1344" s="7">
        <f t="shared" si="81"/>
        <v>14750.3</v>
      </c>
      <c r="G1344" s="17"/>
      <c r="H1344" s="7">
        <v>113.75</v>
      </c>
      <c r="I1344" s="7">
        <v>156.1</v>
      </c>
      <c r="J1344" s="7">
        <v>84.9</v>
      </c>
      <c r="K1344" s="7"/>
      <c r="L1344" s="7"/>
      <c r="M1344" s="7">
        <v>66.55</v>
      </c>
      <c r="N1344" s="17"/>
      <c r="P1344" s="17"/>
      <c r="Q1344" s="5" t="s">
        <v>112</v>
      </c>
      <c r="R1344" s="30">
        <f>SUM(Q1340:Q1343)</f>
        <v>1477.5000000000014</v>
      </c>
      <c r="S1344" s="5">
        <f>SUM(S1340:S1343)</f>
        <v>150</v>
      </c>
      <c r="T1344" s="5">
        <f>(R1344/S1344)*2</f>
        <v>19.700000000000017</v>
      </c>
      <c r="U1344" s="100"/>
      <c r="V1344" s="17"/>
      <c r="W1344" s="66">
        <v>0.54097222222222219</v>
      </c>
      <c r="X1344" s="7">
        <v>29.25</v>
      </c>
      <c r="Y1344" s="7">
        <v>84.6</v>
      </c>
      <c r="Z1344" s="66">
        <v>0.54097222222222219</v>
      </c>
    </row>
    <row r="1345" spans="2:26" x14ac:dyDescent="0.3">
      <c r="B1345" s="14">
        <f>B1344-50</f>
        <v>14800</v>
      </c>
      <c r="C1345" s="7">
        <v>81.099999999999994</v>
      </c>
      <c r="D1345" s="7">
        <v>81</v>
      </c>
      <c r="E1345" s="16"/>
      <c r="F1345" s="98">
        <f t="shared" si="81"/>
        <v>14719</v>
      </c>
      <c r="G1345" s="17"/>
      <c r="H1345" s="7">
        <v>92.5</v>
      </c>
      <c r="I1345" s="7">
        <v>129.19999999999999</v>
      </c>
      <c r="J1345" s="7">
        <v>66.55</v>
      </c>
      <c r="K1345" s="7"/>
      <c r="L1345" s="7"/>
      <c r="M1345" s="7">
        <v>52</v>
      </c>
      <c r="N1345" s="17"/>
      <c r="P1345" s="17"/>
      <c r="Q1345" s="17"/>
      <c r="R1345" s="17"/>
      <c r="S1345" s="17"/>
      <c r="T1345" s="17"/>
      <c r="U1345" s="17"/>
      <c r="V1345" s="17"/>
      <c r="W1345" s="66">
        <v>6.1805555555555558E-2</v>
      </c>
      <c r="X1345" s="7">
        <v>27.8</v>
      </c>
      <c r="Y1345" s="7">
        <v>87</v>
      </c>
      <c r="Z1345" s="66">
        <v>6.1805555555555558E-2</v>
      </c>
    </row>
    <row r="1346" spans="2:26" x14ac:dyDescent="0.3">
      <c r="B1346" s="99">
        <f>B1345-50</f>
        <v>14750</v>
      </c>
      <c r="C1346" s="51">
        <v>65.599999999999994</v>
      </c>
      <c r="D1346" s="7">
        <v>65.7</v>
      </c>
      <c r="E1346" s="16"/>
      <c r="F1346" s="7">
        <f t="shared" si="81"/>
        <v>14684.3</v>
      </c>
      <c r="G1346" s="17"/>
      <c r="H1346" s="7">
        <v>75.349999999999994</v>
      </c>
      <c r="I1346" s="7">
        <v>106.85</v>
      </c>
      <c r="J1346" s="7">
        <v>51.65</v>
      </c>
      <c r="K1346" s="7"/>
      <c r="L1346" s="7"/>
      <c r="M1346" s="7">
        <v>39.65</v>
      </c>
      <c r="N1346" s="17"/>
      <c r="P1346" s="17"/>
      <c r="Q1346" s="17"/>
      <c r="R1346" s="17"/>
      <c r="S1346" s="17"/>
      <c r="T1346" s="17"/>
      <c r="U1346" s="17"/>
      <c r="V1346" s="17"/>
      <c r="W1346" s="66">
        <v>8.2638888888888887E-2</v>
      </c>
      <c r="X1346" s="7">
        <v>27.45</v>
      </c>
      <c r="Y1346" s="7">
        <v>70.150000000000006</v>
      </c>
      <c r="Z1346" s="66">
        <v>8.2638888888888887E-2</v>
      </c>
    </row>
    <row r="1347" spans="2:26" x14ac:dyDescent="0.3">
      <c r="B1347" s="5">
        <f>B1346-50</f>
        <v>14700</v>
      </c>
      <c r="C1347" s="7">
        <v>52.7</v>
      </c>
      <c r="D1347" s="7">
        <v>52.75</v>
      </c>
      <c r="E1347" s="16"/>
      <c r="F1347" s="7">
        <f t="shared" si="81"/>
        <v>14647.25</v>
      </c>
      <c r="G1347" s="16">
        <f>AVERAGE(H1346,H1337)</f>
        <v>52.699999999999996</v>
      </c>
      <c r="H1347" s="7">
        <v>60.7</v>
      </c>
      <c r="I1347" s="7">
        <v>87.15</v>
      </c>
      <c r="J1347" s="7">
        <v>39.5</v>
      </c>
      <c r="K1347" s="7"/>
      <c r="L1347" s="7"/>
      <c r="M1347" s="7">
        <v>30.7</v>
      </c>
      <c r="N1347" s="17"/>
      <c r="P1347" s="98">
        <f>SUM(R1338,R1344)</f>
        <v>1477.5000000000014</v>
      </c>
      <c r="Q1347" s="87">
        <f>P1347/75</f>
        <v>19.700000000000017</v>
      </c>
      <c r="R1347" s="57" t="s">
        <v>72</v>
      </c>
      <c r="S1347" s="57" t="s">
        <v>73</v>
      </c>
      <c r="T1347" s="7">
        <f>((X1339+Y1339)-(X1347+Y1347))</f>
        <v>-10.5</v>
      </c>
      <c r="U1347" s="7"/>
      <c r="V1347" s="98">
        <f>T1347*M1327</f>
        <v>-1575</v>
      </c>
      <c r="W1347" s="66">
        <v>0.13541666666666666</v>
      </c>
      <c r="X1347" s="7">
        <v>53.8</v>
      </c>
      <c r="Y1347" s="23">
        <v>76.400000000000006</v>
      </c>
      <c r="Z1347" s="66">
        <v>0.44444444444444442</v>
      </c>
    </row>
    <row r="1359" spans="2:26" x14ac:dyDescent="0.3">
      <c r="B1359" s="40"/>
      <c r="C1359" s="50">
        <f>AVERAGE(B1360,D1359)</f>
        <v>15105.05</v>
      </c>
      <c r="D1359" s="51">
        <f>B1360+E1360</f>
        <v>15140.05</v>
      </c>
      <c r="E1359" s="50">
        <f>D1359+E1360</f>
        <v>15210.05</v>
      </c>
      <c r="F1359" s="21"/>
      <c r="G1359" s="17"/>
      <c r="H1359" s="88" t="str">
        <f>IF((C1368-D1368)&gt;(C1377-D1377),"LONG",IF(C1377&gt;D1375,"LONG","SHORT"))</f>
        <v>SHORT</v>
      </c>
      <c r="I1359" s="146" t="s">
        <v>115</v>
      </c>
      <c r="J1359" s="147"/>
      <c r="K1359" s="148"/>
      <c r="L1359" s="17"/>
      <c r="M1359" s="17"/>
      <c r="N1359" s="17"/>
      <c r="P1359" s="17"/>
      <c r="Q1359" s="149" t="s">
        <v>71</v>
      </c>
      <c r="R1359" s="149"/>
      <c r="S1359" s="149" t="s">
        <v>37</v>
      </c>
      <c r="T1359" s="149"/>
      <c r="U1359" s="89"/>
      <c r="V1359" s="17"/>
      <c r="W1359" s="90" t="s">
        <v>68</v>
      </c>
      <c r="X1359" s="91" t="s">
        <v>69</v>
      </c>
      <c r="Y1359" s="92" t="s">
        <v>70</v>
      </c>
      <c r="Z1359" s="90" t="s">
        <v>68</v>
      </c>
    </row>
    <row r="1360" spans="2:26" x14ac:dyDescent="0.3">
      <c r="B1360" s="50">
        <v>15070.05</v>
      </c>
      <c r="C1360" s="40"/>
      <c r="D1360" s="58"/>
      <c r="E1360" s="59">
        <f>ROUND((((B1360*F1360%)/4)/10),0)*10</f>
        <v>70</v>
      </c>
      <c r="F1360" s="51">
        <f>(100/B1360)*(F1369-F1378)</f>
        <v>1.778361717446193</v>
      </c>
      <c r="G1360" s="17"/>
      <c r="H1360" s="93">
        <v>0.39166666666666666</v>
      </c>
      <c r="I1360" s="93">
        <v>0.39861111111111108</v>
      </c>
      <c r="J1360" s="93">
        <v>0.4055555555555555</v>
      </c>
      <c r="K1360" s="93">
        <v>0.41250000000000003</v>
      </c>
      <c r="L1360" s="17"/>
      <c r="M1360" s="94">
        <f>ROUND(((112000/2)/(51.6*2))/225,0)*75</f>
        <v>150</v>
      </c>
      <c r="N1360" s="17"/>
      <c r="P1360" s="17"/>
      <c r="Q1360" s="51">
        <f>R1360-(S1360-R1360)</f>
        <v>14127.099999999999</v>
      </c>
      <c r="R1360" s="51">
        <v>14639.55</v>
      </c>
      <c r="S1360" s="51">
        <v>15152</v>
      </c>
      <c r="T1360" s="51">
        <f>S1360+(S1360-R1360)</f>
        <v>15664.45</v>
      </c>
      <c r="U1360" s="62"/>
      <c r="V1360" s="17"/>
      <c r="W1360" s="66">
        <v>0.41597222222222219</v>
      </c>
      <c r="X1360" s="7">
        <v>50.1</v>
      </c>
      <c r="Y1360" s="7">
        <v>60.95</v>
      </c>
      <c r="Z1360" s="66">
        <v>0.41597222222222219</v>
      </c>
    </row>
    <row r="1361" spans="2:26" x14ac:dyDescent="0.3">
      <c r="B1361" s="40"/>
      <c r="C1361" s="50">
        <f>AVERAGE(B1360,D1361)</f>
        <v>15035.05</v>
      </c>
      <c r="D1361" s="51">
        <f>B1360-E1360</f>
        <v>15000.05</v>
      </c>
      <c r="E1361" s="50">
        <f>D1361-E1360</f>
        <v>14930.05</v>
      </c>
      <c r="F1361" s="21"/>
      <c r="G1361" s="17"/>
      <c r="H1361" s="51">
        <v>15064.95</v>
      </c>
      <c r="I1361" s="51">
        <v>15064.95</v>
      </c>
      <c r="J1361" s="51">
        <v>15042.5</v>
      </c>
      <c r="K1361" s="51">
        <v>15063</v>
      </c>
      <c r="L1361" s="17"/>
      <c r="M1361" s="17"/>
      <c r="N1361" s="17"/>
      <c r="P1361" s="17"/>
      <c r="Q1361" s="17"/>
      <c r="R1361" s="17"/>
      <c r="S1361" s="17"/>
      <c r="T1361" s="16"/>
      <c r="U1361" s="16"/>
      <c r="V1361" s="17"/>
      <c r="W1361" s="66">
        <v>0.4368055555555555</v>
      </c>
      <c r="X1361" s="7">
        <v>50.6</v>
      </c>
      <c r="Y1361" s="7">
        <v>57.3</v>
      </c>
      <c r="Z1361" s="66">
        <v>0.4368055555555555</v>
      </c>
    </row>
    <row r="1362" spans="2:26" x14ac:dyDescent="0.3">
      <c r="B1362" s="17"/>
      <c r="C1362" s="17"/>
      <c r="D1362" s="17"/>
      <c r="E1362" s="17"/>
      <c r="F1362" s="16"/>
      <c r="G1362" s="16"/>
      <c r="H1362" s="17"/>
      <c r="I1362" s="17"/>
      <c r="J1362" s="17"/>
      <c r="K1362" s="16"/>
      <c r="L1362" s="17"/>
      <c r="M1362" s="17"/>
      <c r="N1362" s="17"/>
      <c r="P1362" s="17"/>
      <c r="Q1362" s="17"/>
      <c r="R1362" s="17"/>
      <c r="S1362" s="17"/>
      <c r="T1362" s="17"/>
      <c r="U1362" s="17"/>
      <c r="V1362" s="17"/>
      <c r="W1362" s="66">
        <v>0.45763888888888887</v>
      </c>
      <c r="X1362" s="7">
        <v>62.2</v>
      </c>
      <c r="Y1362" s="7">
        <v>49.45</v>
      </c>
      <c r="Z1362" s="66">
        <v>0.45763888888888887</v>
      </c>
    </row>
    <row r="1363" spans="2:26" x14ac:dyDescent="0.3">
      <c r="B1363" s="16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P1363" s="16"/>
      <c r="Q1363" s="17"/>
      <c r="R1363" s="17"/>
      <c r="S1363" s="17"/>
      <c r="T1363" s="17"/>
      <c r="U1363" s="17"/>
      <c r="V1363" s="17"/>
      <c r="W1363" s="66">
        <v>0.47847222222222219</v>
      </c>
      <c r="X1363" s="7">
        <v>63.25</v>
      </c>
      <c r="Y1363" s="7">
        <v>47</v>
      </c>
      <c r="Z1363" s="66">
        <v>0.47847222222222219</v>
      </c>
    </row>
    <row r="1364" spans="2:26" x14ac:dyDescent="0.3">
      <c r="B1364" s="17"/>
      <c r="C1364" s="95">
        <v>44258</v>
      </c>
      <c r="D1364" s="17"/>
      <c r="E1364" s="17"/>
      <c r="F1364" s="7">
        <f>AVERAGE(F1366,F1375)</f>
        <v>15046.275</v>
      </c>
      <c r="G1364" s="96"/>
      <c r="H1364" s="66">
        <v>0.49374999999999997</v>
      </c>
      <c r="I1364" s="66">
        <v>0.5395833333333333</v>
      </c>
      <c r="J1364" s="66">
        <v>0.11388888888888889</v>
      </c>
      <c r="K1364" s="66">
        <v>0.125</v>
      </c>
      <c r="L1364" s="66"/>
      <c r="M1364" s="66">
        <v>0.13541666666666666</v>
      </c>
      <c r="N1364" s="17"/>
      <c r="P1364" s="16"/>
      <c r="Q1364" s="17"/>
      <c r="R1364" s="17"/>
      <c r="S1364" s="17"/>
      <c r="T1364" s="17"/>
      <c r="U1364" s="17"/>
      <c r="V1364" s="17"/>
      <c r="W1364" s="66">
        <v>0.4993055555555555</v>
      </c>
      <c r="X1364" s="7">
        <v>73.900000000000006</v>
      </c>
      <c r="Y1364" s="7">
        <v>41.4</v>
      </c>
      <c r="Z1364" s="66">
        <v>0.4993055555555555</v>
      </c>
    </row>
    <row r="1365" spans="2:26" x14ac:dyDescent="0.3">
      <c r="B1365" s="90" t="s">
        <v>68</v>
      </c>
      <c r="C1365" s="66">
        <v>0.41666666666666669</v>
      </c>
      <c r="D1365" s="66">
        <v>0.40625</v>
      </c>
      <c r="E1365" s="17"/>
      <c r="F1365" s="17"/>
      <c r="G1365" s="17"/>
      <c r="H1365" s="23">
        <v>47.75</v>
      </c>
      <c r="I1365" s="23">
        <v>67.3</v>
      </c>
      <c r="J1365" s="7">
        <v>15264.35</v>
      </c>
      <c r="K1365" s="7">
        <v>15292</v>
      </c>
      <c r="L1365" s="7"/>
      <c r="M1365" s="7">
        <v>15300.1</v>
      </c>
      <c r="N1365" s="17"/>
      <c r="P1365" s="17"/>
      <c r="Q1365" s="145" t="s">
        <v>72</v>
      </c>
      <c r="R1365" s="145"/>
      <c r="S1365" s="145"/>
      <c r="T1365" s="145"/>
      <c r="U1365" s="83"/>
      <c r="V1365" s="17"/>
      <c r="W1365" s="66">
        <v>0.52013888888888882</v>
      </c>
      <c r="X1365" s="7">
        <v>78.7</v>
      </c>
      <c r="Y1365" s="7">
        <v>40.65</v>
      </c>
      <c r="Z1365" s="66">
        <v>0.52013888888888882</v>
      </c>
    </row>
    <row r="1366" spans="2:26" x14ac:dyDescent="0.3">
      <c r="B1366" s="5">
        <f>B1367-50</f>
        <v>15000</v>
      </c>
      <c r="C1366" s="7">
        <v>102.75</v>
      </c>
      <c r="D1366" s="7">
        <v>90.25</v>
      </c>
      <c r="E1366" s="16"/>
      <c r="F1366" s="7">
        <f t="shared" ref="F1366:F1371" si="83">B1366+D1366</f>
        <v>15090.25</v>
      </c>
      <c r="G1366" s="17"/>
      <c r="H1366" s="7">
        <v>139.44999999999999</v>
      </c>
      <c r="I1366" s="7">
        <v>176.7</v>
      </c>
      <c r="J1366" s="7">
        <v>229.9</v>
      </c>
      <c r="K1366" s="7">
        <v>257</v>
      </c>
      <c r="L1366" s="7"/>
      <c r="M1366" s="7">
        <v>265.05</v>
      </c>
      <c r="N1366" s="17"/>
      <c r="P1366" s="17"/>
      <c r="Q1366" s="26"/>
      <c r="R1366" s="34" t="s">
        <v>2</v>
      </c>
      <c r="S1366" s="34" t="s">
        <v>111</v>
      </c>
      <c r="T1366" s="34" t="s">
        <v>1</v>
      </c>
      <c r="U1366" s="84"/>
      <c r="V1366" s="17"/>
      <c r="W1366" s="66">
        <v>0.54097222222222219</v>
      </c>
      <c r="X1366" s="7">
        <v>100.75</v>
      </c>
      <c r="Y1366" s="7">
        <v>34.450000000000003</v>
      </c>
      <c r="Z1366" s="66">
        <v>0.54097222222222219</v>
      </c>
    </row>
    <row r="1367" spans="2:26" x14ac:dyDescent="0.3">
      <c r="B1367" s="5">
        <f>B1368-50</f>
        <v>15050</v>
      </c>
      <c r="C1367" s="7">
        <v>73.650000000000006</v>
      </c>
      <c r="D1367" s="7">
        <v>65.05</v>
      </c>
      <c r="E1367" s="16"/>
      <c r="F1367" s="7">
        <f t="shared" si="83"/>
        <v>15115.05</v>
      </c>
      <c r="G1367" s="17"/>
      <c r="H1367" s="7">
        <v>103.25</v>
      </c>
      <c r="I1367" s="7">
        <v>137.25</v>
      </c>
      <c r="J1367" s="7">
        <v>185.25</v>
      </c>
      <c r="K1367" s="7">
        <v>209.6</v>
      </c>
      <c r="L1367" s="7"/>
      <c r="M1367" s="7">
        <v>217.1</v>
      </c>
      <c r="P1367" s="17"/>
      <c r="Q1367" s="7">
        <f>(T1367-R1367)*S1367</f>
        <v>1537.5</v>
      </c>
      <c r="R1367" s="7">
        <v>46.8</v>
      </c>
      <c r="S1367" s="5">
        <v>75</v>
      </c>
      <c r="T1367" s="7">
        <v>67.3</v>
      </c>
      <c r="U1367" s="70"/>
      <c r="V1367" s="17"/>
      <c r="W1367" s="66">
        <v>6.1805555555555558E-2</v>
      </c>
      <c r="X1367" s="7">
        <v>100.8</v>
      </c>
      <c r="Y1367" s="7">
        <v>30.25</v>
      </c>
      <c r="Z1367" s="66">
        <v>6.1805555555555558E-2</v>
      </c>
    </row>
    <row r="1368" spans="2:26" x14ac:dyDescent="0.3">
      <c r="B1368" s="97">
        <v>15100</v>
      </c>
      <c r="C1368" s="7">
        <v>50.1</v>
      </c>
      <c r="D1368" s="7">
        <v>44.3</v>
      </c>
      <c r="E1368" s="16"/>
      <c r="F1368" s="7">
        <f t="shared" si="83"/>
        <v>15144.3</v>
      </c>
      <c r="G1368" s="17"/>
      <c r="H1368" s="7">
        <v>71.849999999999994</v>
      </c>
      <c r="I1368" s="7">
        <v>100.65</v>
      </c>
      <c r="J1368" s="7">
        <v>143.15</v>
      </c>
      <c r="K1368" s="7">
        <v>166.35</v>
      </c>
      <c r="L1368" s="7"/>
      <c r="M1368" s="7">
        <v>172.2</v>
      </c>
      <c r="P1368" s="17"/>
      <c r="Q1368" s="7">
        <f>(T1368-R1368)*S1368</f>
        <v>3045.0000000000005</v>
      </c>
      <c r="R1368" s="7">
        <v>46.8</v>
      </c>
      <c r="S1368" s="5">
        <v>75</v>
      </c>
      <c r="T1368" s="7">
        <v>87.4</v>
      </c>
      <c r="U1368" s="70"/>
      <c r="V1368" s="17"/>
      <c r="W1368" s="66">
        <v>8.2638888888888887E-2</v>
      </c>
      <c r="X1368" s="7">
        <v>107.95</v>
      </c>
      <c r="Y1368" s="7">
        <v>28.15</v>
      </c>
      <c r="Z1368" s="66">
        <v>8.2638888888888887E-2</v>
      </c>
    </row>
    <row r="1369" spans="2:26" x14ac:dyDescent="0.3">
      <c r="B1369" s="5">
        <f>B1368+50</f>
        <v>15150</v>
      </c>
      <c r="C1369" s="51">
        <v>32</v>
      </c>
      <c r="D1369" s="23">
        <v>28.9</v>
      </c>
      <c r="E1369" s="16"/>
      <c r="F1369" s="98">
        <f t="shared" si="83"/>
        <v>15178.9</v>
      </c>
      <c r="G1369" s="17"/>
      <c r="H1369" s="7">
        <v>46.8</v>
      </c>
      <c r="I1369" s="7">
        <v>69.849999999999994</v>
      </c>
      <c r="J1369" s="7">
        <v>105</v>
      </c>
      <c r="K1369" s="7">
        <v>126.7</v>
      </c>
      <c r="L1369" s="7"/>
      <c r="M1369" s="7">
        <v>130.30000000000001</v>
      </c>
      <c r="N1369" s="17"/>
      <c r="P1369" s="17"/>
      <c r="Q1369" s="7">
        <f>(T1369-R1369)*S1369</f>
        <v>0</v>
      </c>
      <c r="R1369" s="7"/>
      <c r="S1369" s="5"/>
      <c r="T1369" s="7"/>
      <c r="U1369" s="70"/>
      <c r="V1369" s="17"/>
      <c r="W1369" s="17"/>
      <c r="X1369" s="17"/>
      <c r="Y1369" s="17"/>
      <c r="Z1369" s="17"/>
    </row>
    <row r="1370" spans="2:26" x14ac:dyDescent="0.3">
      <c r="B1370" s="99">
        <f>B1369+50</f>
        <v>15200</v>
      </c>
      <c r="C1370" s="7">
        <v>19.45</v>
      </c>
      <c r="D1370" s="7">
        <v>17.899999999999999</v>
      </c>
      <c r="E1370" s="16"/>
      <c r="F1370" s="7">
        <f t="shared" si="83"/>
        <v>15217.9</v>
      </c>
      <c r="G1370" s="17"/>
      <c r="H1370" s="7">
        <v>28.2</v>
      </c>
      <c r="I1370" s="7">
        <v>45.1</v>
      </c>
      <c r="J1370" s="7">
        <v>71.75</v>
      </c>
      <c r="K1370" s="7">
        <v>90.35</v>
      </c>
      <c r="L1370" s="7"/>
      <c r="M1370" s="7">
        <v>92</v>
      </c>
      <c r="N1370" s="17"/>
      <c r="P1370" s="17"/>
      <c r="Q1370" s="7">
        <f>(T1370-R1370)*S1370</f>
        <v>0</v>
      </c>
      <c r="R1370" s="7"/>
      <c r="S1370" s="5"/>
      <c r="T1370" s="7"/>
      <c r="U1370" s="70"/>
      <c r="V1370" s="17"/>
      <c r="W1370" s="90" t="s">
        <v>68</v>
      </c>
      <c r="X1370" s="91" t="s">
        <v>69</v>
      </c>
      <c r="Y1370" s="92" t="s">
        <v>70</v>
      </c>
      <c r="Z1370" s="90" t="s">
        <v>68</v>
      </c>
    </row>
    <row r="1371" spans="2:26" x14ac:dyDescent="0.3">
      <c r="B1371" s="5">
        <f>B1370+50</f>
        <v>15250</v>
      </c>
      <c r="C1371" s="7">
        <v>11</v>
      </c>
      <c r="D1371" s="7">
        <v>10.5</v>
      </c>
      <c r="E1371" s="16"/>
      <c r="F1371" s="7">
        <f t="shared" si="83"/>
        <v>15260.5</v>
      </c>
      <c r="G1371" s="17"/>
      <c r="H1371" s="7">
        <v>15.7</v>
      </c>
      <c r="I1371" s="7">
        <v>27.35</v>
      </c>
      <c r="J1371" s="7">
        <v>44.85</v>
      </c>
      <c r="K1371" s="7">
        <v>60.45</v>
      </c>
      <c r="L1371" s="7"/>
      <c r="M1371" s="7">
        <v>61.5</v>
      </c>
      <c r="N1371" s="17"/>
      <c r="P1371" s="17"/>
      <c r="Q1371" s="5" t="s">
        <v>112</v>
      </c>
      <c r="R1371" s="30">
        <f>SUM(Q1367:Q1370)</f>
        <v>4582.5</v>
      </c>
      <c r="S1371" s="5">
        <f>SUM(S1367:S1370)</f>
        <v>150</v>
      </c>
      <c r="T1371" s="5">
        <f>(R1371/S1371)*2</f>
        <v>61.1</v>
      </c>
      <c r="U1371" s="100"/>
      <c r="V1371" s="17"/>
      <c r="W1371" s="66">
        <v>0.41597222222222219</v>
      </c>
      <c r="X1371" s="7">
        <v>32</v>
      </c>
      <c r="Y1371" s="7">
        <v>45.4</v>
      </c>
      <c r="Z1371" s="66">
        <v>0.41597222222222219</v>
      </c>
    </row>
    <row r="1372" spans="2:26" x14ac:dyDescent="0.3">
      <c r="B1372" s="17"/>
      <c r="C1372" s="17"/>
      <c r="D1372" s="16"/>
      <c r="E1372" s="16">
        <f>F1372-(G1372-F1372)</f>
        <v>28.199999999999989</v>
      </c>
      <c r="F1372" s="16">
        <f>AVERAGE(C1368,C1378)</f>
        <v>47.75</v>
      </c>
      <c r="G1372" s="16">
        <f>AVERAGE(C1367,C1377)</f>
        <v>67.300000000000011</v>
      </c>
      <c r="H1372" s="16"/>
      <c r="I1372" s="81"/>
      <c r="J1372" s="17"/>
      <c r="K1372" s="76"/>
      <c r="L1372" s="17"/>
      <c r="M1372" s="17"/>
      <c r="N1372" s="17"/>
      <c r="P1372" s="17"/>
      <c r="Q1372" s="17"/>
      <c r="R1372" s="17"/>
      <c r="S1372" s="17"/>
      <c r="T1372" s="17"/>
      <c r="U1372" s="17"/>
      <c r="V1372" s="16"/>
      <c r="W1372" s="66">
        <v>0.4368055555555555</v>
      </c>
      <c r="X1372" s="7">
        <v>31.75</v>
      </c>
      <c r="Y1372" s="7">
        <v>42.85</v>
      </c>
      <c r="Z1372" s="66">
        <v>0.4368055555555555</v>
      </c>
    </row>
    <row r="1373" spans="2:26" x14ac:dyDescent="0.3">
      <c r="B1373" s="17"/>
      <c r="C1373" s="95">
        <v>44259</v>
      </c>
      <c r="D1373" s="17"/>
      <c r="E1373" s="16">
        <f>E1372-(F1372-E1372)</f>
        <v>8.6499999999999773</v>
      </c>
      <c r="F1373" s="16"/>
      <c r="G1373" s="16"/>
      <c r="H1373" s="66">
        <v>0.49374999999999997</v>
      </c>
      <c r="I1373" s="66">
        <v>0.5395833333333333</v>
      </c>
      <c r="J1373" s="66">
        <v>0.11388888888888889</v>
      </c>
      <c r="K1373" s="66">
        <v>0.125</v>
      </c>
      <c r="L1373" s="66"/>
      <c r="M1373" s="66">
        <v>0.13541666666666666</v>
      </c>
      <c r="N1373" s="17"/>
      <c r="P1373" s="17"/>
      <c r="Q1373" s="7">
        <f>(T1373-R1373)*S1373</f>
        <v>0</v>
      </c>
      <c r="R1373" s="18"/>
      <c r="S1373" s="5"/>
      <c r="T1373" s="7"/>
      <c r="U1373" s="101"/>
      <c r="V1373" s="17"/>
      <c r="W1373" s="66">
        <v>0.45763888888888887</v>
      </c>
      <c r="X1373" s="7">
        <v>39.950000000000003</v>
      </c>
      <c r="Y1373" s="7">
        <v>37.450000000000003</v>
      </c>
      <c r="Z1373" s="66">
        <v>0.45763888888888887</v>
      </c>
    </row>
    <row r="1374" spans="2:26" x14ac:dyDescent="0.3">
      <c r="B1374" s="90" t="s">
        <v>68</v>
      </c>
      <c r="C1374" s="66">
        <v>0.41666666666666669</v>
      </c>
      <c r="D1374" s="66">
        <v>0.3888888888888889</v>
      </c>
      <c r="E1374" s="16">
        <f>F1374-(G1374-F1374)</f>
        <v>33.125</v>
      </c>
      <c r="F1374" s="16">
        <f>AVERAGE(C1377,C1368)</f>
        <v>55.525000000000006</v>
      </c>
      <c r="G1374" s="16">
        <f>AVERAGE(C1376,C1367)</f>
        <v>77.925000000000011</v>
      </c>
      <c r="H1374" s="7">
        <v>15145</v>
      </c>
      <c r="I1374" s="7">
        <v>15193.3</v>
      </c>
      <c r="J1374" s="23">
        <v>10.7</v>
      </c>
      <c r="K1374" s="23">
        <v>8.8000000000000007</v>
      </c>
      <c r="L1374" s="7"/>
      <c r="M1374" s="7">
        <v>15300.1</v>
      </c>
      <c r="N1374" s="17"/>
      <c r="P1374" s="17"/>
      <c r="Q1374" s="7">
        <f>(T1374-R1374)*S1374</f>
        <v>0</v>
      </c>
      <c r="R1374" s="18"/>
      <c r="S1374" s="5"/>
      <c r="T1374" s="7"/>
      <c r="U1374" s="101"/>
      <c r="V1374" s="17"/>
      <c r="W1374" s="66">
        <v>0.47847222222222219</v>
      </c>
      <c r="X1374" s="7">
        <v>40.700000000000003</v>
      </c>
      <c r="Y1374" s="7">
        <v>35.700000000000003</v>
      </c>
      <c r="Z1374" s="66">
        <v>0.47847222222222219</v>
      </c>
    </row>
    <row r="1375" spans="2:26" x14ac:dyDescent="0.3">
      <c r="B1375" s="5">
        <f>B1376+50</f>
        <v>15100</v>
      </c>
      <c r="C1375" s="7">
        <v>108.85</v>
      </c>
      <c r="D1375" s="7">
        <v>97.7</v>
      </c>
      <c r="E1375" s="16">
        <f>E1374-(F1374-E1374)</f>
        <v>10.724999999999994</v>
      </c>
      <c r="F1375" s="7">
        <f t="shared" ref="F1375:F1380" si="84">B1375-D1375</f>
        <v>15002.3</v>
      </c>
      <c r="G1375" s="17"/>
      <c r="H1375" s="7">
        <v>73.349999999999994</v>
      </c>
      <c r="I1375" s="7">
        <v>58.4</v>
      </c>
      <c r="J1375" s="7">
        <v>26.55</v>
      </c>
      <c r="K1375" s="7">
        <v>20.55</v>
      </c>
      <c r="L1375" s="7"/>
      <c r="M1375" s="7">
        <v>19.850000000000001</v>
      </c>
      <c r="N1375" s="17"/>
      <c r="P1375" s="17"/>
      <c r="Q1375" s="7">
        <f t="shared" ref="Q1375:Q1376" si="85">(T1375-R1375)*S1375</f>
        <v>0</v>
      </c>
      <c r="R1375" s="18"/>
      <c r="S1375" s="99"/>
      <c r="T1375" s="18"/>
      <c r="U1375" s="101"/>
      <c r="V1375" s="16"/>
      <c r="W1375" s="66">
        <v>0.4993055555555555</v>
      </c>
      <c r="X1375" s="7">
        <v>48.55</v>
      </c>
      <c r="Y1375" s="7">
        <v>31.6</v>
      </c>
      <c r="Z1375" s="66">
        <v>0.4993055555555555</v>
      </c>
    </row>
    <row r="1376" spans="2:26" x14ac:dyDescent="0.3">
      <c r="B1376" s="5">
        <f>B1377+50</f>
        <v>15050</v>
      </c>
      <c r="C1376" s="7">
        <v>82.2</v>
      </c>
      <c r="D1376" s="7">
        <v>72.650000000000006</v>
      </c>
      <c r="E1376" s="16"/>
      <c r="F1376" s="7">
        <f t="shared" si="84"/>
        <v>14977.35</v>
      </c>
      <c r="G1376" s="17"/>
      <c r="H1376" s="7">
        <v>55.05</v>
      </c>
      <c r="I1376" s="7">
        <v>44.15</v>
      </c>
      <c r="J1376" s="7">
        <v>18.8</v>
      </c>
      <c r="K1376" s="7">
        <v>14.55</v>
      </c>
      <c r="L1376" s="7"/>
      <c r="M1376" s="7">
        <v>14.6</v>
      </c>
      <c r="N1376" s="17"/>
      <c r="P1376" s="17"/>
      <c r="Q1376" s="7">
        <f t="shared" si="85"/>
        <v>0</v>
      </c>
      <c r="R1376" s="18"/>
      <c r="S1376" s="99"/>
      <c r="T1376" s="18"/>
      <c r="U1376" s="101"/>
      <c r="V1376" s="16"/>
      <c r="W1376" s="66">
        <v>0.52013888888888882</v>
      </c>
      <c r="X1376" s="7">
        <v>52.05</v>
      </c>
      <c r="Y1376" s="7">
        <v>31</v>
      </c>
      <c r="Z1376" s="66">
        <v>0.52013888888888882</v>
      </c>
    </row>
    <row r="1377" spans="2:26" x14ac:dyDescent="0.3">
      <c r="B1377" s="97">
        <v>15000</v>
      </c>
      <c r="C1377" s="7">
        <v>60.95</v>
      </c>
      <c r="D1377" s="7">
        <v>53</v>
      </c>
      <c r="E1377" s="16"/>
      <c r="F1377" s="7">
        <f t="shared" si="84"/>
        <v>14947</v>
      </c>
      <c r="G1377" s="17"/>
      <c r="H1377" s="7">
        <v>41.55</v>
      </c>
      <c r="I1377" s="7">
        <v>34.15</v>
      </c>
      <c r="J1377" s="7">
        <v>13.75</v>
      </c>
      <c r="K1377" s="7">
        <v>10.95</v>
      </c>
      <c r="L1377" s="7"/>
      <c r="M1377" s="7">
        <v>11.45</v>
      </c>
      <c r="N1377" s="17"/>
      <c r="P1377" s="17"/>
      <c r="Q1377" s="5" t="s">
        <v>112</v>
      </c>
      <c r="R1377" s="30">
        <f>SUM(Q1373:Q1376)</f>
        <v>0</v>
      </c>
      <c r="S1377" s="5">
        <f>SUM(S1373:S1376)</f>
        <v>0</v>
      </c>
      <c r="T1377" s="5" t="e">
        <f>(R1377/S1377)*2</f>
        <v>#DIV/0!</v>
      </c>
      <c r="U1377" s="100"/>
      <c r="V1377" s="17"/>
      <c r="W1377" s="66">
        <v>0.54097222222222219</v>
      </c>
      <c r="X1377" s="7">
        <v>70.349999999999994</v>
      </c>
      <c r="Y1377" s="7">
        <v>26.7</v>
      </c>
      <c r="Z1377" s="66">
        <v>0.54097222222222219</v>
      </c>
    </row>
    <row r="1378" spans="2:26" x14ac:dyDescent="0.3">
      <c r="B1378" s="14">
        <f>B1377-50</f>
        <v>14950</v>
      </c>
      <c r="C1378" s="51">
        <v>45.4</v>
      </c>
      <c r="D1378" s="23">
        <v>39.1</v>
      </c>
      <c r="E1378" s="16"/>
      <c r="F1378" s="98">
        <f t="shared" si="84"/>
        <v>14910.9</v>
      </c>
      <c r="G1378" s="17"/>
      <c r="H1378" s="7">
        <v>31.5</v>
      </c>
      <c r="I1378" s="7">
        <v>26.45</v>
      </c>
      <c r="J1378" s="7">
        <v>10.55</v>
      </c>
      <c r="K1378" s="7">
        <v>8.6</v>
      </c>
      <c r="L1378" s="7"/>
      <c r="M1378" s="7">
        <v>9.35</v>
      </c>
      <c r="N1378" s="17"/>
      <c r="P1378" s="17"/>
      <c r="Q1378" s="17"/>
      <c r="R1378" s="17"/>
      <c r="S1378" s="17"/>
      <c r="T1378" s="17"/>
      <c r="U1378" s="17"/>
      <c r="V1378" s="17"/>
      <c r="W1378" s="66">
        <v>6.1805555555555558E-2</v>
      </c>
      <c r="X1378" s="7">
        <v>69.45</v>
      </c>
      <c r="Y1378" s="7">
        <v>22.9</v>
      </c>
      <c r="Z1378" s="66">
        <v>6.1805555555555558E-2</v>
      </c>
    </row>
    <row r="1379" spans="2:26" x14ac:dyDescent="0.3">
      <c r="B1379" s="99">
        <f>B1378-50</f>
        <v>14900</v>
      </c>
      <c r="C1379" s="7">
        <v>33.950000000000003</v>
      </c>
      <c r="D1379" s="7">
        <v>28.75</v>
      </c>
      <c r="E1379" s="16"/>
      <c r="F1379" s="7">
        <f t="shared" si="84"/>
        <v>14871.25</v>
      </c>
      <c r="G1379" s="17"/>
      <c r="H1379" s="7">
        <v>24.8</v>
      </c>
      <c r="I1379" s="7">
        <v>20.75</v>
      </c>
      <c r="J1379" s="7">
        <v>8.8000000000000007</v>
      </c>
      <c r="K1379" s="7">
        <v>7.55</v>
      </c>
      <c r="L1379" s="7"/>
      <c r="M1379" s="7">
        <v>7.75</v>
      </c>
      <c r="N1379" s="17"/>
      <c r="P1379" s="17"/>
      <c r="Q1379" s="17"/>
      <c r="R1379" s="17"/>
      <c r="S1379" s="17"/>
      <c r="T1379" s="17"/>
      <c r="U1379" s="17"/>
      <c r="V1379" s="17"/>
      <c r="W1379" s="66">
        <v>8.2638888888888887E-2</v>
      </c>
      <c r="X1379" s="7">
        <v>75.349999999999994</v>
      </c>
      <c r="Y1379" s="7">
        <v>21.3</v>
      </c>
      <c r="Z1379" s="66">
        <v>8.2638888888888887E-2</v>
      </c>
    </row>
    <row r="1380" spans="2:26" x14ac:dyDescent="0.3">
      <c r="B1380" s="5">
        <f>B1379-50</f>
        <v>14850</v>
      </c>
      <c r="C1380" s="7">
        <v>25.35</v>
      </c>
      <c r="D1380" s="7">
        <v>21.3</v>
      </c>
      <c r="E1380" s="16"/>
      <c r="F1380" s="7">
        <f t="shared" si="84"/>
        <v>14828.7</v>
      </c>
      <c r="G1380" s="16">
        <f>AVERAGE(H1369,H1379)</f>
        <v>35.799999999999997</v>
      </c>
      <c r="H1380" s="7">
        <v>19.3</v>
      </c>
      <c r="I1380" s="7">
        <v>16.350000000000001</v>
      </c>
      <c r="J1380" s="7">
        <v>7.45</v>
      </c>
      <c r="K1380" s="7">
        <v>6.6</v>
      </c>
      <c r="L1380" s="7"/>
      <c r="M1380" s="7">
        <v>6.6</v>
      </c>
      <c r="N1380" s="17"/>
      <c r="P1380" s="98">
        <f>SUM(R1371,R1377)</f>
        <v>4582.5</v>
      </c>
      <c r="Q1380" s="92" t="s">
        <v>72</v>
      </c>
      <c r="R1380" s="17"/>
      <c r="S1380" s="92" t="s">
        <v>73</v>
      </c>
      <c r="T1380" s="7">
        <f>((X1372+Y1372)-(X1380+Y1380))</f>
        <v>2.0499999999999972</v>
      </c>
      <c r="U1380" s="7"/>
      <c r="V1380" s="98">
        <f>T1380*M1360</f>
        <v>307.49999999999955</v>
      </c>
      <c r="W1380" s="66">
        <v>0.49374999999999997</v>
      </c>
      <c r="X1380" s="23">
        <v>47.75</v>
      </c>
      <c r="Y1380" s="7">
        <v>24.8</v>
      </c>
      <c r="Z1380" s="66">
        <v>0.13541666666666666</v>
      </c>
    </row>
    <row r="1382" spans="2:26" x14ac:dyDescent="0.3">
      <c r="H1382" s="40"/>
      <c r="M1382" s="40"/>
    </row>
    <row r="1392" spans="2:26" x14ac:dyDescent="0.3">
      <c r="B1392" s="40"/>
      <c r="C1392" s="50">
        <f>AVERAGE(B1393,D1392)</f>
        <v>15099.45</v>
      </c>
      <c r="D1392" s="51">
        <f>B1393+E1393</f>
        <v>15159.45</v>
      </c>
      <c r="E1392" s="50">
        <f>D1392+E1393</f>
        <v>15279.45</v>
      </c>
      <c r="F1392" s="21"/>
      <c r="G1392" s="17"/>
      <c r="H1392" s="88" t="str">
        <f>IF((C1401-D1401)&gt;(C1410-D1410),"LONG",IF(C1410&gt;D1408,"LONG","SHORT"))</f>
        <v>LONG</v>
      </c>
      <c r="I1392" s="146" t="s">
        <v>116</v>
      </c>
      <c r="J1392" s="147"/>
      <c r="K1392" s="148"/>
      <c r="L1392" s="17"/>
      <c r="M1392" s="17"/>
      <c r="N1392" s="17"/>
      <c r="P1392" s="16"/>
      <c r="Q1392" s="149" t="s">
        <v>71</v>
      </c>
      <c r="R1392" s="149"/>
      <c r="S1392" s="149" t="s">
        <v>37</v>
      </c>
      <c r="T1392" s="149"/>
      <c r="U1392" s="89"/>
      <c r="V1392" s="17"/>
      <c r="W1392" s="90" t="s">
        <v>68</v>
      </c>
      <c r="X1392" s="91" t="s">
        <v>69</v>
      </c>
      <c r="Y1392" s="92" t="s">
        <v>70</v>
      </c>
      <c r="Z1392" s="90" t="s">
        <v>68</v>
      </c>
    </row>
    <row r="1393" spans="2:26" x14ac:dyDescent="0.3">
      <c r="B1393" s="50">
        <v>15039.45</v>
      </c>
      <c r="C1393" s="40"/>
      <c r="D1393" s="58"/>
      <c r="E1393" s="59">
        <f>ROUND((((B1393*F1393%)/4)/10),0)*10</f>
        <v>120</v>
      </c>
      <c r="F1393" s="51">
        <f>(100/B1393)*(F1402-F1411)</f>
        <v>3.2773804893131042</v>
      </c>
      <c r="G1393" s="17"/>
      <c r="H1393" s="93">
        <v>0.39166666666666666</v>
      </c>
      <c r="I1393" s="93">
        <v>0.39861111111111108</v>
      </c>
      <c r="J1393" s="93">
        <v>0.4055555555555555</v>
      </c>
      <c r="K1393" s="93">
        <v>0.41250000000000003</v>
      </c>
      <c r="L1393" s="17"/>
      <c r="M1393" s="94">
        <f>ROUND((58000/(107*2))/225,0)*75</f>
        <v>75</v>
      </c>
      <c r="N1393" s="17"/>
      <c r="P1393" s="16"/>
      <c r="Q1393" s="51">
        <f>R1393-(S1393-R1393)</f>
        <v>14127.099999999999</v>
      </c>
      <c r="R1393" s="51">
        <v>14639.55</v>
      </c>
      <c r="S1393" s="51">
        <v>15152</v>
      </c>
      <c r="T1393" s="51">
        <f>S1393+(S1393-R1393)</f>
        <v>15664.45</v>
      </c>
      <c r="U1393" s="62"/>
      <c r="V1393" s="17"/>
      <c r="W1393" s="66">
        <v>0.41597222222222219</v>
      </c>
      <c r="X1393" s="7">
        <v>120.9</v>
      </c>
      <c r="Y1393" s="7">
        <v>156.05000000000001</v>
      </c>
      <c r="Z1393" s="66">
        <v>0.41597222222222219</v>
      </c>
    </row>
    <row r="1394" spans="2:26" x14ac:dyDescent="0.3">
      <c r="B1394" s="40"/>
      <c r="C1394" s="50">
        <f>AVERAGE(B1393,D1394)</f>
        <v>14979.45</v>
      </c>
      <c r="D1394" s="51">
        <f>B1393-E1393</f>
        <v>14919.45</v>
      </c>
      <c r="E1394" s="50">
        <f>D1394-E1393</f>
        <v>14799.45</v>
      </c>
      <c r="F1394" s="21"/>
      <c r="G1394" s="17"/>
      <c r="H1394" s="51">
        <v>15114</v>
      </c>
      <c r="I1394" s="51">
        <v>15060.8</v>
      </c>
      <c r="J1394" s="51">
        <v>15029.2</v>
      </c>
      <c r="K1394" s="51">
        <v>15025.85</v>
      </c>
      <c r="L1394" s="17"/>
      <c r="M1394" s="17"/>
      <c r="N1394" s="17"/>
      <c r="P1394" s="16"/>
      <c r="Q1394" s="17"/>
      <c r="R1394" s="17"/>
      <c r="S1394" s="17"/>
      <c r="T1394" s="16"/>
      <c r="U1394" s="16"/>
      <c r="V1394" s="17"/>
      <c r="W1394" s="66">
        <v>0.4368055555555555</v>
      </c>
      <c r="X1394" s="7">
        <v>130.15</v>
      </c>
      <c r="Y1394" s="7">
        <v>145.25</v>
      </c>
      <c r="Z1394" s="66">
        <v>0.4368055555555555</v>
      </c>
    </row>
    <row r="1395" spans="2:26" x14ac:dyDescent="0.3">
      <c r="B1395" s="17"/>
      <c r="C1395" s="17"/>
      <c r="D1395" s="17"/>
      <c r="E1395" s="17"/>
      <c r="F1395" s="16"/>
      <c r="G1395" s="16"/>
      <c r="H1395" s="17"/>
      <c r="I1395" s="17"/>
      <c r="J1395" s="17"/>
      <c r="K1395" s="16"/>
      <c r="L1395" s="17"/>
      <c r="M1395" s="17"/>
      <c r="N1395" s="17"/>
      <c r="P1395" s="16"/>
      <c r="Q1395" s="17"/>
      <c r="R1395" s="17"/>
      <c r="S1395" s="17"/>
      <c r="T1395" s="17"/>
      <c r="U1395" s="17"/>
      <c r="V1395" s="17"/>
      <c r="W1395" s="66">
        <v>0.45763888888888887</v>
      </c>
      <c r="X1395" s="7">
        <v>138.44999999999999</v>
      </c>
      <c r="Y1395" s="7">
        <v>138.1</v>
      </c>
      <c r="Z1395" s="66">
        <v>0.45763888888888887</v>
      </c>
    </row>
    <row r="1396" spans="2:26" x14ac:dyDescent="0.3">
      <c r="B1396" s="16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P1396" s="16"/>
      <c r="Q1396" s="17"/>
      <c r="R1396" s="17"/>
      <c r="S1396" s="17"/>
      <c r="T1396" s="17"/>
      <c r="U1396" s="17"/>
      <c r="V1396" s="17"/>
      <c r="W1396" s="66">
        <v>0.47847222222222219</v>
      </c>
      <c r="X1396" s="7">
        <v>160</v>
      </c>
      <c r="Y1396" s="7">
        <v>119.95</v>
      </c>
      <c r="Z1396" s="66">
        <v>0.47847222222222219</v>
      </c>
    </row>
    <row r="1397" spans="2:26" x14ac:dyDescent="0.3">
      <c r="B1397" s="17"/>
      <c r="C1397" s="95">
        <v>44259</v>
      </c>
      <c r="D1397" s="17"/>
      <c r="E1397" s="17"/>
      <c r="F1397" s="7">
        <f>AVERAGE(F1399,F1408)</f>
        <v>15048.525</v>
      </c>
      <c r="G1397" s="96"/>
      <c r="H1397" s="66">
        <v>0.46458333333333335</v>
      </c>
      <c r="I1397" s="66">
        <v>0.47013888888888888</v>
      </c>
      <c r="J1397" s="66">
        <v>0.52777777777777779</v>
      </c>
      <c r="K1397" s="66"/>
      <c r="L1397" s="66"/>
      <c r="M1397" s="66">
        <v>0.13541666666666666</v>
      </c>
      <c r="N1397" s="17"/>
      <c r="P1397" s="16"/>
      <c r="Q1397" s="17"/>
      <c r="R1397" s="17"/>
      <c r="S1397" s="17"/>
      <c r="T1397" s="17"/>
      <c r="U1397" s="17"/>
      <c r="V1397" s="17"/>
      <c r="W1397" s="66">
        <v>0.4993055555555555</v>
      </c>
      <c r="X1397" s="7">
        <v>182</v>
      </c>
      <c r="Y1397" s="7">
        <v>115.05</v>
      </c>
      <c r="Z1397" s="66">
        <v>0.4993055555555555</v>
      </c>
    </row>
    <row r="1398" spans="2:26" x14ac:dyDescent="0.3">
      <c r="B1398" s="90" t="s">
        <v>68</v>
      </c>
      <c r="C1398" s="66">
        <v>0.41666666666666669</v>
      </c>
      <c r="D1398" s="66">
        <v>0.40763888888888888</v>
      </c>
      <c r="E1398" s="17"/>
      <c r="F1398" s="17"/>
      <c r="G1398" s="17"/>
      <c r="H1398" s="23">
        <v>104.2</v>
      </c>
      <c r="I1398" s="23">
        <v>121.2</v>
      </c>
      <c r="J1398" s="7">
        <v>15198.25</v>
      </c>
      <c r="K1398" s="7"/>
      <c r="L1398" s="7"/>
      <c r="M1398" s="7">
        <v>15105.05</v>
      </c>
      <c r="N1398" s="17"/>
      <c r="P1398" s="17"/>
      <c r="Q1398" s="145" t="s">
        <v>72</v>
      </c>
      <c r="R1398" s="145"/>
      <c r="S1398" s="145"/>
      <c r="T1398" s="145"/>
      <c r="U1398" s="83"/>
      <c r="V1398" s="17"/>
      <c r="W1398" s="66">
        <v>0.52013888888888882</v>
      </c>
      <c r="X1398" s="7">
        <v>188.4</v>
      </c>
      <c r="Y1398" s="7">
        <v>108.85</v>
      </c>
      <c r="Z1398" s="66">
        <v>0.52013888888888882</v>
      </c>
    </row>
    <row r="1399" spans="2:26" x14ac:dyDescent="0.3">
      <c r="B1399" s="5">
        <f>B1400-50</f>
        <v>15050</v>
      </c>
      <c r="C1399" s="7">
        <v>167.55</v>
      </c>
      <c r="D1399" s="7">
        <v>152.75</v>
      </c>
      <c r="E1399" s="16"/>
      <c r="F1399" s="7">
        <f t="shared" ref="F1399:F1404" si="86">B1399+D1399</f>
        <v>15202.75</v>
      </c>
      <c r="G1399" s="17"/>
      <c r="H1399" s="7">
        <v>206</v>
      </c>
      <c r="I1399" s="7">
        <v>234.25</v>
      </c>
      <c r="J1399" s="7">
        <v>260.55</v>
      </c>
      <c r="K1399" s="7"/>
      <c r="L1399" s="7"/>
      <c r="M1399" s="7">
        <v>215.6</v>
      </c>
      <c r="N1399" s="17"/>
      <c r="P1399" s="17"/>
      <c r="Q1399" s="26"/>
      <c r="R1399" s="34" t="s">
        <v>2</v>
      </c>
      <c r="S1399" s="34" t="s">
        <v>111</v>
      </c>
      <c r="T1399" s="34" t="s">
        <v>1</v>
      </c>
      <c r="U1399" s="84"/>
      <c r="V1399" s="17"/>
      <c r="W1399" s="66">
        <v>0.54097222222222219</v>
      </c>
      <c r="X1399" s="7">
        <v>207.7</v>
      </c>
      <c r="Y1399" s="7">
        <v>96.55</v>
      </c>
      <c r="Z1399" s="66">
        <v>0.54097222222222219</v>
      </c>
    </row>
    <row r="1400" spans="2:26" x14ac:dyDescent="0.3">
      <c r="B1400" s="5">
        <f>B1401-50</f>
        <v>15100</v>
      </c>
      <c r="C1400" s="7">
        <v>143.5</v>
      </c>
      <c r="D1400" s="7">
        <v>130.75</v>
      </c>
      <c r="E1400" s="16"/>
      <c r="F1400" s="7">
        <f t="shared" si="86"/>
        <v>15230.75</v>
      </c>
      <c r="G1400" s="17"/>
      <c r="H1400" s="7">
        <v>178.1</v>
      </c>
      <c r="I1400" s="7">
        <v>203.15</v>
      </c>
      <c r="J1400" s="7">
        <v>227.9</v>
      </c>
      <c r="K1400" s="7"/>
      <c r="L1400" s="7"/>
      <c r="M1400" s="7">
        <v>188</v>
      </c>
      <c r="P1400" s="17"/>
      <c r="Q1400" s="7">
        <f>(T1400-R1400)*S1400</f>
        <v>1091.2499999999998</v>
      </c>
      <c r="R1400" s="7">
        <v>106.65</v>
      </c>
      <c r="S1400" s="5">
        <v>75</v>
      </c>
      <c r="T1400" s="7">
        <v>121.2</v>
      </c>
      <c r="U1400" s="70"/>
      <c r="V1400" s="17"/>
      <c r="W1400" s="66">
        <v>6.1805555555555558E-2</v>
      </c>
      <c r="X1400" s="7">
        <v>183.4</v>
      </c>
      <c r="Y1400" s="7">
        <v>109.65</v>
      </c>
      <c r="Z1400" s="66">
        <v>6.1805555555555558E-2</v>
      </c>
    </row>
    <row r="1401" spans="2:26" x14ac:dyDescent="0.3">
      <c r="B1401" s="97">
        <v>15150</v>
      </c>
      <c r="C1401" s="7">
        <v>120.9</v>
      </c>
      <c r="D1401" s="7">
        <v>110.45</v>
      </c>
      <c r="E1401" s="16"/>
      <c r="F1401" s="7">
        <f t="shared" si="86"/>
        <v>15260.45</v>
      </c>
      <c r="G1401" s="17"/>
      <c r="H1401" s="7">
        <v>150</v>
      </c>
      <c r="I1401" s="7">
        <v>175</v>
      </c>
      <c r="J1401" s="7">
        <v>200.35</v>
      </c>
      <c r="K1401" s="7"/>
      <c r="L1401" s="7"/>
      <c r="M1401" s="7">
        <v>163.75</v>
      </c>
      <c r="P1401" s="17"/>
      <c r="Q1401" s="7">
        <f>(T1401-R1401)*S1401</f>
        <v>1439.9999999999991</v>
      </c>
      <c r="R1401" s="7">
        <v>106.65</v>
      </c>
      <c r="S1401" s="5">
        <v>75</v>
      </c>
      <c r="T1401" s="7">
        <v>125.85</v>
      </c>
      <c r="U1401" s="70"/>
      <c r="V1401" s="17"/>
      <c r="W1401" s="66">
        <v>8.2638888888888887E-2</v>
      </c>
      <c r="X1401" s="7">
        <v>172.65</v>
      </c>
      <c r="Y1401" s="7">
        <v>126.65</v>
      </c>
      <c r="Z1401" s="66">
        <v>8.2638888888888887E-2</v>
      </c>
    </row>
    <row r="1402" spans="2:26" x14ac:dyDescent="0.3">
      <c r="B1402" s="5">
        <f>B1401+50</f>
        <v>15200</v>
      </c>
      <c r="C1402" s="7">
        <v>101.15</v>
      </c>
      <c r="D1402" s="23">
        <v>91.65</v>
      </c>
      <c r="E1402" s="16"/>
      <c r="F1402" s="98">
        <f t="shared" si="86"/>
        <v>15291.65</v>
      </c>
      <c r="G1402" s="17"/>
      <c r="H1402" s="7">
        <v>127.4</v>
      </c>
      <c r="I1402" s="7">
        <v>148.55000000000001</v>
      </c>
      <c r="J1402" s="7">
        <v>173.5</v>
      </c>
      <c r="K1402" s="7"/>
      <c r="L1402" s="7"/>
      <c r="M1402" s="7">
        <v>140.6</v>
      </c>
      <c r="N1402" s="17"/>
      <c r="P1402" s="17"/>
      <c r="Q1402" s="7">
        <f>(T1402-R1402)*S1402</f>
        <v>0</v>
      </c>
      <c r="R1402" s="7"/>
      <c r="S1402" s="5"/>
      <c r="T1402" s="7"/>
      <c r="U1402" s="70"/>
      <c r="V1402" s="17"/>
      <c r="W1402" s="17"/>
      <c r="X1402" s="17"/>
      <c r="Y1402" s="17"/>
      <c r="Z1402" s="17"/>
    </row>
    <row r="1403" spans="2:26" x14ac:dyDescent="0.3">
      <c r="B1403" s="99">
        <f>B1402+50</f>
        <v>15250</v>
      </c>
      <c r="C1403" s="51">
        <v>84.4</v>
      </c>
      <c r="D1403" s="7">
        <v>76.25</v>
      </c>
      <c r="E1403" s="16"/>
      <c r="F1403" s="7">
        <f t="shared" si="86"/>
        <v>15326.25</v>
      </c>
      <c r="G1403" s="17"/>
      <c r="H1403" s="7">
        <v>106.65</v>
      </c>
      <c r="I1403" s="7">
        <v>125.85</v>
      </c>
      <c r="J1403" s="7">
        <v>148.80000000000001</v>
      </c>
      <c r="K1403" s="7"/>
      <c r="L1403" s="7"/>
      <c r="M1403" s="7">
        <v>120.55</v>
      </c>
      <c r="N1403" s="17"/>
      <c r="P1403" s="17"/>
      <c r="Q1403" s="7">
        <f>(T1403-R1403)*S1403</f>
        <v>0</v>
      </c>
      <c r="R1403" s="7"/>
      <c r="S1403" s="5"/>
      <c r="T1403" s="7"/>
      <c r="U1403" s="70"/>
      <c r="V1403" s="17"/>
      <c r="W1403" s="90" t="s">
        <v>68</v>
      </c>
      <c r="X1403" s="91" t="s">
        <v>69</v>
      </c>
      <c r="Y1403" s="92" t="s">
        <v>70</v>
      </c>
      <c r="Z1403" s="90" t="s">
        <v>68</v>
      </c>
    </row>
    <row r="1404" spans="2:26" x14ac:dyDescent="0.3">
      <c r="B1404" s="5">
        <f>B1403+50</f>
        <v>15300</v>
      </c>
      <c r="C1404" s="7">
        <v>69.45</v>
      </c>
      <c r="D1404" s="7">
        <v>62.3</v>
      </c>
      <c r="E1404" s="16"/>
      <c r="F1404" s="7">
        <f t="shared" si="86"/>
        <v>15362.3</v>
      </c>
      <c r="G1404" s="17"/>
      <c r="H1404" s="7">
        <v>88.3</v>
      </c>
      <c r="I1404" s="7">
        <v>104.35</v>
      </c>
      <c r="J1404" s="7">
        <v>126.95</v>
      </c>
      <c r="K1404" s="7"/>
      <c r="L1404" s="7"/>
      <c r="M1404" s="7">
        <v>100.4</v>
      </c>
      <c r="N1404" s="17"/>
      <c r="P1404" s="17"/>
      <c r="Q1404" s="5" t="s">
        <v>112</v>
      </c>
      <c r="R1404" s="30">
        <f>SUM(Q1400:Q1403)</f>
        <v>2531.2499999999991</v>
      </c>
      <c r="S1404" s="5">
        <f>SUM(S1400:S1403)</f>
        <v>150</v>
      </c>
      <c r="T1404" s="5">
        <f>(R1404/S1404)*2</f>
        <v>33.749999999999986</v>
      </c>
      <c r="U1404" s="100"/>
      <c r="V1404" s="17"/>
      <c r="W1404" s="66">
        <v>0.41597222222222219</v>
      </c>
      <c r="X1404" s="7">
        <v>84.4</v>
      </c>
      <c r="Y1404" s="7">
        <v>107.25</v>
      </c>
      <c r="Z1404" s="66">
        <v>0.41597222222222219</v>
      </c>
    </row>
    <row r="1405" spans="2:26" x14ac:dyDescent="0.3">
      <c r="B1405" s="17"/>
      <c r="C1405" s="17"/>
      <c r="D1405" s="16"/>
      <c r="E1405" s="16">
        <f>F1405-(G1405-F1405)</f>
        <v>87.2</v>
      </c>
      <c r="F1405" s="16">
        <f>AVERAGE(C1402,C1413)</f>
        <v>104.2</v>
      </c>
      <c r="G1405" s="16">
        <f>AVERAGE(C1401,C1412)</f>
        <v>121.2</v>
      </c>
      <c r="H1405" s="17"/>
      <c r="I1405" s="81"/>
      <c r="J1405" s="17"/>
      <c r="K1405" s="76"/>
      <c r="L1405" s="17"/>
      <c r="M1405" s="17"/>
      <c r="N1405" s="17"/>
      <c r="P1405" s="17"/>
      <c r="Q1405" s="17"/>
      <c r="R1405" s="17"/>
      <c r="S1405" s="17"/>
      <c r="T1405" s="17"/>
      <c r="U1405" s="17"/>
      <c r="V1405" s="16"/>
      <c r="W1405" s="66">
        <v>0.4368055555555555</v>
      </c>
      <c r="X1405" s="7">
        <v>91.35</v>
      </c>
      <c r="Y1405" s="7">
        <v>98.8</v>
      </c>
      <c r="Z1405" s="66">
        <v>0.4368055555555555</v>
      </c>
    </row>
    <row r="1406" spans="2:26" x14ac:dyDescent="0.3">
      <c r="B1406" s="17"/>
      <c r="C1406" s="95">
        <v>44265</v>
      </c>
      <c r="D1406" s="17"/>
      <c r="E1406" s="16">
        <f>E1405-(F1405-E1405)</f>
        <v>70.2</v>
      </c>
      <c r="F1406" s="16"/>
      <c r="G1406" s="16"/>
      <c r="H1406" s="66">
        <v>0.46458333333333335</v>
      </c>
      <c r="I1406" s="66">
        <v>0.47013888888888888</v>
      </c>
      <c r="J1406" s="66">
        <v>0.52777777777777779</v>
      </c>
      <c r="K1406" s="66"/>
      <c r="L1406" s="66"/>
      <c r="M1406" s="66">
        <v>0.13541666666666666</v>
      </c>
      <c r="N1406" s="17"/>
      <c r="P1406" s="17"/>
      <c r="Q1406" s="7">
        <f>(T1406-R1406)*S1406</f>
        <v>0</v>
      </c>
      <c r="R1406" s="18"/>
      <c r="S1406" s="5"/>
      <c r="T1406" s="7"/>
      <c r="U1406" s="70"/>
      <c r="V1406" s="17"/>
      <c r="W1406" s="66">
        <v>0.45763888888888887</v>
      </c>
      <c r="X1406" s="7">
        <v>97.2</v>
      </c>
      <c r="Y1406" s="7">
        <v>94.7</v>
      </c>
      <c r="Z1406" s="66">
        <v>0.45763888888888887</v>
      </c>
    </row>
    <row r="1407" spans="2:26" x14ac:dyDescent="0.3">
      <c r="B1407" s="90" t="s">
        <v>68</v>
      </c>
      <c r="C1407" s="66">
        <v>0.41666666666666669</v>
      </c>
      <c r="D1407" s="66">
        <v>0.39305555555555555</v>
      </c>
      <c r="E1407" s="16">
        <f>F1407-(G1407-F1407)</f>
        <v>92.625</v>
      </c>
      <c r="F1407" s="16">
        <f>AVERAGE(C1412,C1402)</f>
        <v>111.325</v>
      </c>
      <c r="G1407" s="16">
        <f>AVERAGE(C1411,C1401)</f>
        <v>130.02500000000001</v>
      </c>
      <c r="H1407" s="7">
        <v>15115.5</v>
      </c>
      <c r="I1407" s="7">
        <v>15171.15</v>
      </c>
      <c r="J1407" s="23">
        <v>64.650000000000006</v>
      </c>
      <c r="K1407" s="7"/>
      <c r="L1407" s="7"/>
      <c r="M1407" s="7">
        <v>15105.05</v>
      </c>
      <c r="N1407" s="17"/>
      <c r="P1407" s="17"/>
      <c r="Q1407" s="7">
        <f>(T1407-R1407)*S1407</f>
        <v>0</v>
      </c>
      <c r="R1407" s="18"/>
      <c r="S1407" s="5"/>
      <c r="T1407" s="7"/>
      <c r="U1407" s="70"/>
      <c r="V1407" s="17"/>
      <c r="W1407" s="66">
        <v>0.47847222222222219</v>
      </c>
      <c r="X1407" s="7">
        <v>113.55</v>
      </c>
      <c r="Y1407" s="7">
        <v>80.95</v>
      </c>
      <c r="Z1407" s="66">
        <v>0.47847222222222219</v>
      </c>
    </row>
    <row r="1408" spans="2:26" x14ac:dyDescent="0.3">
      <c r="B1408" s="5">
        <f>B1409+50</f>
        <v>15050</v>
      </c>
      <c r="C1408" s="7">
        <v>201.75</v>
      </c>
      <c r="D1408" s="7">
        <v>155.69999999999999</v>
      </c>
      <c r="E1408" s="16">
        <f>E1407-(F1407-E1407)</f>
        <v>73.924999999999997</v>
      </c>
      <c r="F1408" s="7">
        <f t="shared" ref="F1408:F1413" si="87">B1408-D1408</f>
        <v>14894.3</v>
      </c>
      <c r="G1408" s="17"/>
      <c r="H1408" s="7">
        <v>160.05000000000001</v>
      </c>
      <c r="I1408" s="7">
        <v>137.5</v>
      </c>
      <c r="J1408" s="7">
        <v>131.94999999999999</v>
      </c>
      <c r="K1408" s="7"/>
      <c r="L1408" s="7"/>
      <c r="M1408" s="7">
        <v>184.95</v>
      </c>
      <c r="N1408" s="17"/>
      <c r="P1408" s="17"/>
      <c r="Q1408" s="7">
        <f t="shared" ref="Q1408:Q1409" si="88">(T1408-R1408)*S1408</f>
        <v>0</v>
      </c>
      <c r="R1408" s="18"/>
      <c r="S1408" s="99"/>
      <c r="T1408" s="18"/>
      <c r="U1408" s="101"/>
      <c r="V1408" s="16"/>
      <c r="W1408" s="66">
        <v>0.4993055555555555</v>
      </c>
      <c r="X1408" s="7">
        <v>134.25</v>
      </c>
      <c r="Y1408" s="7">
        <v>79</v>
      </c>
      <c r="Z1408" s="66">
        <v>0.4993055555555555</v>
      </c>
    </row>
    <row r="1409" spans="2:26" x14ac:dyDescent="0.3">
      <c r="B1409" s="5">
        <f>B1410+50</f>
        <v>15000</v>
      </c>
      <c r="C1409" s="7">
        <v>178.25</v>
      </c>
      <c r="D1409" s="7">
        <v>135.05000000000001</v>
      </c>
      <c r="E1409" s="16"/>
      <c r="F1409" s="7">
        <f t="shared" si="87"/>
        <v>14864.95</v>
      </c>
      <c r="G1409" s="17"/>
      <c r="H1409" s="7">
        <v>140.5</v>
      </c>
      <c r="I1409" s="7">
        <v>121.35</v>
      </c>
      <c r="J1409" s="7">
        <v>115.6</v>
      </c>
      <c r="K1409" s="7"/>
      <c r="L1409" s="7"/>
      <c r="M1409" s="7">
        <v>164</v>
      </c>
      <c r="N1409" s="17"/>
      <c r="P1409" s="17"/>
      <c r="Q1409" s="7">
        <f t="shared" si="88"/>
        <v>0</v>
      </c>
      <c r="R1409" s="18"/>
      <c r="S1409" s="99"/>
      <c r="T1409" s="18"/>
      <c r="U1409" s="101"/>
      <c r="V1409" s="16"/>
      <c r="W1409" s="66">
        <v>0.52013888888888882</v>
      </c>
      <c r="X1409" s="7">
        <v>139</v>
      </c>
      <c r="Y1409" s="7">
        <v>73.7</v>
      </c>
      <c r="Z1409" s="66">
        <v>0.52013888888888882</v>
      </c>
    </row>
    <row r="1410" spans="2:26" x14ac:dyDescent="0.3">
      <c r="B1410" s="97">
        <v>14950</v>
      </c>
      <c r="C1410" s="7">
        <v>156.05000000000001</v>
      </c>
      <c r="D1410" s="7">
        <v>117.8</v>
      </c>
      <c r="E1410" s="16"/>
      <c r="F1410" s="7">
        <f t="shared" si="87"/>
        <v>14832.2</v>
      </c>
      <c r="G1410" s="17"/>
      <c r="H1410" s="7">
        <v>124</v>
      </c>
      <c r="I1410" s="7">
        <v>107.2</v>
      </c>
      <c r="J1410" s="7">
        <v>101.1</v>
      </c>
      <c r="K1410" s="7"/>
      <c r="L1410" s="7"/>
      <c r="M1410" s="7">
        <v>145.5</v>
      </c>
      <c r="N1410" s="17"/>
      <c r="P1410" s="17"/>
      <c r="Q1410" s="5" t="s">
        <v>112</v>
      </c>
      <c r="R1410" s="30">
        <f>SUM(Q1406:Q1409)</f>
        <v>0</v>
      </c>
      <c r="S1410" s="5">
        <f>SUM(S1406:S1409)</f>
        <v>0</v>
      </c>
      <c r="T1410" s="5" t="e">
        <f>(R1410/S1410)*2</f>
        <v>#DIV/0!</v>
      </c>
      <c r="U1410" s="100"/>
      <c r="V1410" s="17"/>
      <c r="W1410" s="66">
        <v>0.54097222222222219</v>
      </c>
      <c r="X1410" s="7">
        <v>155.5</v>
      </c>
      <c r="Y1410" s="7">
        <v>63.8</v>
      </c>
      <c r="Z1410" s="66">
        <v>0.54097222222222219</v>
      </c>
    </row>
    <row r="1411" spans="2:26" x14ac:dyDescent="0.3">
      <c r="B1411" s="14">
        <f>B1410-50</f>
        <v>14900</v>
      </c>
      <c r="C1411" s="7">
        <v>139.15</v>
      </c>
      <c r="D1411" s="23">
        <v>101.25</v>
      </c>
      <c r="E1411" s="16"/>
      <c r="F1411" s="98">
        <f t="shared" si="87"/>
        <v>14798.75</v>
      </c>
      <c r="G1411" s="17"/>
      <c r="H1411" s="7">
        <v>109.3</v>
      </c>
      <c r="I1411" s="7">
        <v>94.25</v>
      </c>
      <c r="J1411" s="7">
        <v>86.5</v>
      </c>
      <c r="K1411" s="7"/>
      <c r="L1411" s="7"/>
      <c r="M1411" s="7">
        <v>129.44999999999999</v>
      </c>
      <c r="N1411" s="17"/>
      <c r="P1411" s="17"/>
      <c r="Q1411" s="17"/>
      <c r="R1411" s="17"/>
      <c r="S1411" s="17"/>
      <c r="T1411" s="17"/>
      <c r="U1411" s="17"/>
      <c r="V1411" s="17"/>
      <c r="W1411" s="66">
        <v>6.1805555555555558E-2</v>
      </c>
      <c r="X1411" s="7">
        <v>136</v>
      </c>
      <c r="Y1411" s="7">
        <v>73.900000000000006</v>
      </c>
      <c r="Z1411" s="66">
        <v>6.1805555555555558E-2</v>
      </c>
    </row>
    <row r="1412" spans="2:26" x14ac:dyDescent="0.3">
      <c r="B1412" s="99">
        <f>B1411-50</f>
        <v>14850</v>
      </c>
      <c r="C1412" s="7">
        <v>121.5</v>
      </c>
      <c r="D1412" s="7">
        <v>88.5</v>
      </c>
      <c r="E1412" s="16"/>
      <c r="F1412" s="7">
        <f t="shared" si="87"/>
        <v>14761.5</v>
      </c>
      <c r="G1412" s="17"/>
      <c r="H1412" s="7">
        <v>96</v>
      </c>
      <c r="I1412" s="7">
        <v>83.3</v>
      </c>
      <c r="J1412" s="7">
        <v>77.55</v>
      </c>
      <c r="K1412" s="7"/>
      <c r="L1412" s="7"/>
      <c r="M1412" s="7">
        <v>115</v>
      </c>
      <c r="N1412" s="17"/>
      <c r="P1412" s="17"/>
      <c r="Q1412" s="17"/>
      <c r="R1412" s="17"/>
      <c r="S1412" s="17"/>
      <c r="T1412" s="17"/>
      <c r="U1412" s="17"/>
      <c r="V1412" s="17"/>
      <c r="W1412" s="66">
        <v>8.2638888888888887E-2</v>
      </c>
      <c r="X1412" s="7">
        <v>128.35</v>
      </c>
      <c r="Y1412" s="7">
        <v>86.15</v>
      </c>
      <c r="Z1412" s="66">
        <v>8.2638888888888887E-2</v>
      </c>
    </row>
    <row r="1413" spans="2:26" x14ac:dyDescent="0.3">
      <c r="B1413" s="5">
        <f>B1412-50</f>
        <v>14800</v>
      </c>
      <c r="C1413" s="51">
        <v>107.25</v>
      </c>
      <c r="D1413" s="7">
        <v>76.599999999999994</v>
      </c>
      <c r="E1413" s="16"/>
      <c r="F1413" s="7">
        <f t="shared" si="87"/>
        <v>14723.4</v>
      </c>
      <c r="G1413" s="17"/>
      <c r="H1413" s="7">
        <v>84.35</v>
      </c>
      <c r="I1413" s="7">
        <v>73.5</v>
      </c>
      <c r="J1413" s="7">
        <v>67.3</v>
      </c>
      <c r="K1413" s="7"/>
      <c r="L1413" s="7"/>
      <c r="M1413" s="7">
        <v>102</v>
      </c>
      <c r="N1413" s="17"/>
      <c r="P1413" s="98">
        <f>SUM(R1404,R1410)</f>
        <v>2531.2499999999991</v>
      </c>
      <c r="Q1413" s="92" t="s">
        <v>72</v>
      </c>
      <c r="R1413" s="17"/>
      <c r="S1413" s="92" t="s">
        <v>73</v>
      </c>
      <c r="T1413" s="7">
        <f>((X1405+Y1405)-(X1413+Y1413))</f>
        <v>11.749999999999972</v>
      </c>
      <c r="U1413" s="7"/>
      <c r="V1413" s="98">
        <f>T1413*M1393</f>
        <v>881.24999999999784</v>
      </c>
      <c r="W1413" s="66">
        <v>0.46458333333333335</v>
      </c>
      <c r="X1413" s="23">
        <v>104.2</v>
      </c>
      <c r="Y1413" s="7">
        <v>74.2</v>
      </c>
      <c r="Z1413" s="66">
        <v>0.46597222222222223</v>
      </c>
    </row>
    <row r="1414" spans="2:26" x14ac:dyDescent="0.3">
      <c r="I1414" s="76">
        <v>64.650000000000006</v>
      </c>
    </row>
    <row r="1425" spans="2:26" x14ac:dyDescent="0.3">
      <c r="B1425" s="40"/>
      <c r="C1425" s="50">
        <f>AVERAGE(B1426,D1425)</f>
        <v>15140.05</v>
      </c>
      <c r="D1425" s="51">
        <f>B1426+E1426</f>
        <v>15215.05</v>
      </c>
      <c r="E1425" s="50">
        <f>D1425+E1426</f>
        <v>15365.05</v>
      </c>
      <c r="F1425" s="21"/>
      <c r="G1425" s="17"/>
      <c r="H1425" s="88" t="str">
        <f>IF((C1434-D1434)&gt;(C1443-D1443),"LONG",IF(C1443&gt;D1441,"LONG","SHORT"))</f>
        <v>LONG</v>
      </c>
      <c r="I1425" s="146" t="s">
        <v>117</v>
      </c>
      <c r="J1425" s="147"/>
      <c r="K1425" s="148"/>
      <c r="L1425" s="17"/>
      <c r="M1425" s="17"/>
      <c r="N1425" s="17"/>
      <c r="P1425" s="16"/>
      <c r="Q1425" s="149" t="s">
        <v>71</v>
      </c>
      <c r="R1425" s="149"/>
      <c r="S1425" s="149" t="s">
        <v>37</v>
      </c>
      <c r="T1425" s="149"/>
      <c r="U1425" s="89"/>
      <c r="V1425" s="17"/>
      <c r="W1425" s="90" t="s">
        <v>68</v>
      </c>
      <c r="X1425" s="91" t="s">
        <v>69</v>
      </c>
      <c r="Y1425" s="92" t="s">
        <v>70</v>
      </c>
      <c r="Z1425" s="90" t="s">
        <v>68</v>
      </c>
    </row>
    <row r="1426" spans="2:26" x14ac:dyDescent="0.3">
      <c r="B1426" s="50">
        <v>15065.05</v>
      </c>
      <c r="C1426" s="40"/>
      <c r="D1426" s="58"/>
      <c r="E1426" s="59">
        <f>ROUND((((B1426*F1426%)/4)/10),0)*10</f>
        <v>150</v>
      </c>
      <c r="F1426" s="51">
        <f>(100/B1426)*(F1435-F1444)</f>
        <v>3.9024098824763254</v>
      </c>
      <c r="G1426" s="17"/>
      <c r="H1426" s="93">
        <v>0.39166666666666666</v>
      </c>
      <c r="I1426" s="93">
        <v>0.39861111111111108</v>
      </c>
      <c r="J1426" s="93">
        <v>0.4055555555555555</v>
      </c>
      <c r="K1426" s="93">
        <v>0.41250000000000003</v>
      </c>
      <c r="L1426" s="17"/>
      <c r="M1426" s="94">
        <f>ROUND((58000/(117*2))/225,0)*75</f>
        <v>75</v>
      </c>
      <c r="N1426" s="17"/>
      <c r="P1426" s="16"/>
      <c r="Q1426" s="51">
        <f>R1426-(S1426-R1426)</f>
        <v>14127.099999999999</v>
      </c>
      <c r="R1426" s="51">
        <v>14639.55</v>
      </c>
      <c r="S1426" s="51">
        <v>15152</v>
      </c>
      <c r="T1426" s="51">
        <f>S1426+(S1426-R1426)</f>
        <v>15664.45</v>
      </c>
      <c r="U1426" s="62"/>
      <c r="V1426" s="17"/>
      <c r="W1426" s="66">
        <v>0.41597222222222219</v>
      </c>
      <c r="X1426" s="7">
        <v>132.6</v>
      </c>
      <c r="Y1426" s="7">
        <v>175.05</v>
      </c>
      <c r="Z1426" s="66">
        <v>0.41597222222222219</v>
      </c>
    </row>
    <row r="1427" spans="2:26" x14ac:dyDescent="0.3">
      <c r="B1427" s="40"/>
      <c r="C1427" s="50">
        <f>AVERAGE(B1426,D1427)</f>
        <v>14990.05</v>
      </c>
      <c r="D1427" s="51">
        <f>B1426-E1426</f>
        <v>14915.05</v>
      </c>
      <c r="E1427" s="50">
        <f>D1427-E1426</f>
        <v>14765.05</v>
      </c>
      <c r="F1427" s="21"/>
      <c r="G1427" s="17"/>
      <c r="H1427" s="51">
        <v>15012.3</v>
      </c>
      <c r="I1427" s="51">
        <v>14959.25</v>
      </c>
      <c r="J1427" s="51">
        <v>15040</v>
      </c>
      <c r="K1427" s="51">
        <v>15061.1</v>
      </c>
      <c r="L1427" s="17"/>
      <c r="M1427" s="17"/>
      <c r="N1427" s="17"/>
      <c r="P1427" s="16"/>
      <c r="Q1427" s="17"/>
      <c r="R1427" s="17"/>
      <c r="S1427" s="17"/>
      <c r="T1427" s="16"/>
      <c r="U1427" s="16"/>
      <c r="V1427" s="17"/>
      <c r="W1427" s="66">
        <v>0.4368055555555555</v>
      </c>
      <c r="X1427" s="7">
        <v>111.25</v>
      </c>
      <c r="Y1427" s="7">
        <v>195.5</v>
      </c>
      <c r="Z1427" s="66">
        <v>0.4368055555555555</v>
      </c>
    </row>
    <row r="1428" spans="2:26" x14ac:dyDescent="0.3">
      <c r="B1428" s="17"/>
      <c r="C1428" s="17"/>
      <c r="D1428" s="17"/>
      <c r="E1428" s="17"/>
      <c r="F1428" s="16"/>
      <c r="G1428" s="16"/>
      <c r="H1428" s="17"/>
      <c r="I1428" s="17"/>
      <c r="J1428" s="17"/>
      <c r="K1428" s="16"/>
      <c r="L1428" s="17"/>
      <c r="M1428" s="17"/>
      <c r="N1428" s="17"/>
      <c r="P1428" s="16"/>
      <c r="Q1428" s="17"/>
      <c r="R1428" s="17"/>
      <c r="S1428" s="17"/>
      <c r="T1428" s="17"/>
      <c r="U1428" s="17"/>
      <c r="V1428" s="17"/>
      <c r="W1428" s="66">
        <v>0.45763888888888887</v>
      </c>
      <c r="X1428" s="7">
        <v>98.2</v>
      </c>
      <c r="Y1428" s="7">
        <v>212.45</v>
      </c>
      <c r="Z1428" s="66">
        <v>0.45763888888888887</v>
      </c>
    </row>
    <row r="1429" spans="2:26" x14ac:dyDescent="0.3">
      <c r="B1429" s="16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P1429" s="16"/>
      <c r="Q1429" s="17"/>
      <c r="R1429" s="17"/>
      <c r="S1429" s="17"/>
      <c r="T1429" s="17"/>
      <c r="U1429" s="17"/>
      <c r="V1429" s="17"/>
      <c r="W1429" s="66">
        <v>0.47847222222222219</v>
      </c>
      <c r="X1429" s="7">
        <v>118.4</v>
      </c>
      <c r="Y1429" s="7">
        <v>177.95</v>
      </c>
      <c r="Z1429" s="66">
        <v>0.47847222222222219</v>
      </c>
    </row>
    <row r="1430" spans="2:26" x14ac:dyDescent="0.3">
      <c r="B1430" s="17"/>
      <c r="C1430" s="95">
        <v>44260</v>
      </c>
      <c r="D1430" s="17"/>
      <c r="E1430" s="17"/>
      <c r="F1430" s="7">
        <f>AVERAGE(F1432,F1441)</f>
        <v>15035.475</v>
      </c>
      <c r="G1430" s="96"/>
      <c r="H1430" s="66">
        <v>0.41944444444444445</v>
      </c>
      <c r="I1430" s="66">
        <v>0.4548611111111111</v>
      </c>
      <c r="J1430" s="66">
        <v>0.52083333333333337</v>
      </c>
      <c r="K1430" s="66">
        <v>6.805555555555555E-2</v>
      </c>
      <c r="L1430" s="66"/>
      <c r="M1430" s="66">
        <v>0.13541666666666666</v>
      </c>
      <c r="N1430" s="17"/>
      <c r="P1430" s="16"/>
      <c r="Q1430" s="17"/>
      <c r="R1430" s="17"/>
      <c r="S1430" s="17"/>
      <c r="T1430" s="17"/>
      <c r="U1430" s="17"/>
      <c r="V1430" s="17"/>
      <c r="W1430" s="66">
        <v>0.4993055555555555</v>
      </c>
      <c r="X1430" s="7">
        <v>107.35</v>
      </c>
      <c r="Y1430" s="7">
        <v>186.45</v>
      </c>
      <c r="Z1430" s="66">
        <v>0.4993055555555555</v>
      </c>
    </row>
    <row r="1431" spans="2:26" x14ac:dyDescent="0.3">
      <c r="B1431" s="90" t="s">
        <v>68</v>
      </c>
      <c r="C1431" s="66">
        <v>0.41666666666666669</v>
      </c>
      <c r="D1431" s="66">
        <v>0.39930555555555558</v>
      </c>
      <c r="E1431" s="17"/>
      <c r="F1431" s="17"/>
      <c r="G1431" s="17"/>
      <c r="H1431" s="7">
        <v>15045.45</v>
      </c>
      <c r="I1431" s="7">
        <v>14983</v>
      </c>
      <c r="J1431" s="23"/>
      <c r="K1431" s="7"/>
      <c r="L1431" s="7"/>
      <c r="M1431" s="7"/>
      <c r="N1431" s="17"/>
      <c r="P1431" s="17"/>
      <c r="Q1431" s="145" t="s">
        <v>72</v>
      </c>
      <c r="R1431" s="145"/>
      <c r="S1431" s="145"/>
      <c r="T1431" s="145"/>
      <c r="U1431" s="83"/>
      <c r="V1431" s="17"/>
      <c r="W1431" s="66">
        <v>0.52013888888888882</v>
      </c>
      <c r="X1431" s="7">
        <v>115</v>
      </c>
      <c r="Y1431" s="7">
        <v>171</v>
      </c>
      <c r="Z1431" s="66">
        <v>0.52013888888888882</v>
      </c>
    </row>
    <row r="1432" spans="2:26" x14ac:dyDescent="0.3">
      <c r="B1432" s="5">
        <f>B1433-50</f>
        <v>15100</v>
      </c>
      <c r="C1432" s="7">
        <v>181.45</v>
      </c>
      <c r="D1432" s="7">
        <v>134</v>
      </c>
      <c r="E1432" s="16"/>
      <c r="F1432" s="7">
        <f t="shared" ref="F1432:F1437" si="89">B1432+D1432</f>
        <v>15234</v>
      </c>
      <c r="G1432" s="17"/>
      <c r="H1432" s="7">
        <v>172.6</v>
      </c>
      <c r="I1432" s="7">
        <v>141.05000000000001</v>
      </c>
      <c r="J1432" s="7">
        <v>163.44999999999999</v>
      </c>
      <c r="K1432" s="7">
        <v>127.7</v>
      </c>
      <c r="L1432" s="7"/>
      <c r="M1432" s="7">
        <v>114.85</v>
      </c>
      <c r="N1432" s="17"/>
      <c r="P1432" s="17"/>
      <c r="Q1432" s="26"/>
      <c r="R1432" s="34" t="s">
        <v>2</v>
      </c>
      <c r="S1432" s="34" t="s">
        <v>111</v>
      </c>
      <c r="T1432" s="34" t="s">
        <v>1</v>
      </c>
      <c r="U1432" s="84"/>
      <c r="V1432" s="17"/>
      <c r="W1432" s="66">
        <v>0.54097222222222219</v>
      </c>
      <c r="X1432" s="7">
        <v>106.25</v>
      </c>
      <c r="Y1432" s="7">
        <v>174.35</v>
      </c>
      <c r="Z1432" s="66">
        <v>0.54097222222222219</v>
      </c>
    </row>
    <row r="1433" spans="2:26" x14ac:dyDescent="0.3">
      <c r="B1433" s="5">
        <f>B1434-50</f>
        <v>15150</v>
      </c>
      <c r="C1433" s="7">
        <v>156.69999999999999</v>
      </c>
      <c r="D1433" s="7">
        <v>113.8</v>
      </c>
      <c r="E1433" s="16"/>
      <c r="F1433" s="7">
        <f t="shared" si="89"/>
        <v>15263.8</v>
      </c>
      <c r="G1433" s="17"/>
      <c r="H1433" s="7">
        <v>148.65</v>
      </c>
      <c r="I1433" s="7">
        <v>120.75</v>
      </c>
      <c r="J1433" s="7">
        <v>140</v>
      </c>
      <c r="K1433" s="7">
        <v>108.05</v>
      </c>
      <c r="L1433" s="7"/>
      <c r="M1433" s="7">
        <v>95.8</v>
      </c>
      <c r="N1433" s="17"/>
      <c r="P1433" s="17"/>
      <c r="Q1433" s="7">
        <f>(T1433-R1433)*S1433</f>
        <v>0</v>
      </c>
      <c r="R1433" s="7"/>
      <c r="S1433" s="5"/>
      <c r="T1433" s="7"/>
      <c r="U1433" s="70"/>
      <c r="V1433" s="17"/>
      <c r="W1433" s="66">
        <v>6.1805555555555558E-2</v>
      </c>
      <c r="X1433" s="7">
        <v>105.9</v>
      </c>
      <c r="Y1433" s="7">
        <v>169.05</v>
      </c>
      <c r="Z1433" s="66">
        <v>6.1805555555555558E-2</v>
      </c>
    </row>
    <row r="1434" spans="2:26" x14ac:dyDescent="0.3">
      <c r="B1434" s="97">
        <v>15200</v>
      </c>
      <c r="C1434" s="7">
        <v>132.6</v>
      </c>
      <c r="D1434" s="7">
        <v>95.25</v>
      </c>
      <c r="E1434" s="16"/>
      <c r="F1434" s="7">
        <f t="shared" si="89"/>
        <v>15295.25</v>
      </c>
      <c r="G1434" s="17"/>
      <c r="H1434" s="7">
        <v>125.8</v>
      </c>
      <c r="I1434" s="7">
        <v>101.2</v>
      </c>
      <c r="J1434" s="7">
        <v>118.1</v>
      </c>
      <c r="K1434" s="7">
        <v>89.5</v>
      </c>
      <c r="L1434" s="7"/>
      <c r="M1434" s="7">
        <v>78.95</v>
      </c>
      <c r="N1434" s="17"/>
      <c r="P1434" s="17"/>
      <c r="Q1434" s="7">
        <f>(T1434-R1434)*S1434</f>
        <v>0</v>
      </c>
      <c r="R1434" s="7"/>
      <c r="S1434" s="5"/>
      <c r="T1434" s="7"/>
      <c r="U1434" s="70"/>
      <c r="V1434" s="17"/>
      <c r="W1434" s="66">
        <v>8.2638888888888887E-2</v>
      </c>
      <c r="X1434" s="7">
        <v>78</v>
      </c>
      <c r="Y1434" s="7">
        <v>212.45</v>
      </c>
      <c r="Z1434" s="66">
        <v>8.2638888888888887E-2</v>
      </c>
    </row>
    <row r="1435" spans="2:26" x14ac:dyDescent="0.3">
      <c r="B1435" s="5">
        <f>B1434+50</f>
        <v>15250</v>
      </c>
      <c r="C1435" s="7">
        <v>112.55</v>
      </c>
      <c r="D1435" s="23">
        <v>79.599999999999994</v>
      </c>
      <c r="E1435" s="16"/>
      <c r="F1435" s="98">
        <f t="shared" si="89"/>
        <v>15329.6</v>
      </c>
      <c r="G1435" s="17"/>
      <c r="H1435" s="7">
        <v>106.25</v>
      </c>
      <c r="I1435" s="7">
        <v>84.55</v>
      </c>
      <c r="J1435" s="7">
        <v>98.3</v>
      </c>
      <c r="K1435" s="7">
        <v>74.05</v>
      </c>
      <c r="L1435" s="7"/>
      <c r="M1435" s="7">
        <v>64.849999999999994</v>
      </c>
      <c r="N1435" s="17"/>
      <c r="P1435" s="17"/>
      <c r="Q1435" s="7">
        <f>(T1435-R1435)*S1435</f>
        <v>0</v>
      </c>
      <c r="R1435" s="7"/>
      <c r="S1435" s="5"/>
      <c r="T1435" s="7"/>
      <c r="U1435" s="70"/>
      <c r="V1435" s="17"/>
      <c r="W1435" s="17"/>
      <c r="X1435" s="17"/>
      <c r="Y1435" s="17"/>
      <c r="Z1435" s="17"/>
    </row>
    <row r="1436" spans="2:26" x14ac:dyDescent="0.3">
      <c r="B1436" s="99">
        <f>B1435+50</f>
        <v>15300</v>
      </c>
      <c r="C1436" s="51">
        <v>93.2</v>
      </c>
      <c r="D1436" s="7">
        <v>64.75</v>
      </c>
      <c r="E1436" s="16"/>
      <c r="F1436" s="7">
        <f t="shared" si="89"/>
        <v>15364.75</v>
      </c>
      <c r="G1436" s="17"/>
      <c r="H1436" s="7">
        <v>88.35</v>
      </c>
      <c r="I1436" s="7">
        <v>69.349999999999994</v>
      </c>
      <c r="J1436" s="7">
        <v>81</v>
      </c>
      <c r="K1436" s="7">
        <v>59.55</v>
      </c>
      <c r="L1436" s="7"/>
      <c r="M1436" s="7">
        <v>52.1</v>
      </c>
      <c r="N1436" s="17"/>
      <c r="P1436" s="17"/>
      <c r="Q1436" s="7">
        <f>(T1436-R1436)*S1436</f>
        <v>0</v>
      </c>
      <c r="R1436" s="7"/>
      <c r="S1436" s="5"/>
      <c r="T1436" s="7"/>
      <c r="U1436" s="70"/>
      <c r="V1436" s="17"/>
      <c r="W1436" s="90" t="s">
        <v>68</v>
      </c>
      <c r="X1436" s="91" t="s">
        <v>69</v>
      </c>
      <c r="Y1436" s="92" t="s">
        <v>70</v>
      </c>
      <c r="Z1436" s="90" t="s">
        <v>68</v>
      </c>
    </row>
    <row r="1437" spans="2:26" x14ac:dyDescent="0.3">
      <c r="B1437" s="5">
        <f>B1436+50</f>
        <v>15350</v>
      </c>
      <c r="C1437" s="7">
        <v>77.2</v>
      </c>
      <c r="D1437" s="7">
        <v>52.65</v>
      </c>
      <c r="E1437" s="16"/>
      <c r="F1437" s="7">
        <f t="shared" si="89"/>
        <v>15402.65</v>
      </c>
      <c r="G1437" s="17"/>
      <c r="H1437" s="7">
        <v>71.849999999999994</v>
      </c>
      <c r="I1437" s="7">
        <v>57.4</v>
      </c>
      <c r="J1437" s="7">
        <v>66.150000000000006</v>
      </c>
      <c r="K1437" s="7">
        <v>48.65</v>
      </c>
      <c r="L1437" s="7"/>
      <c r="M1437" s="7">
        <v>41.95</v>
      </c>
      <c r="N1437" s="17"/>
      <c r="P1437" s="17"/>
      <c r="Q1437" s="5" t="s">
        <v>112</v>
      </c>
      <c r="R1437" s="30">
        <f>SUM(Q1433:Q1436)</f>
        <v>0</v>
      </c>
      <c r="S1437" s="5">
        <f>SUM(S1433:S1436)</f>
        <v>0</v>
      </c>
      <c r="T1437" s="5" t="e">
        <f>(R1437/S1437)*2</f>
        <v>#DIV/0!</v>
      </c>
      <c r="U1437" s="100"/>
      <c r="V1437" s="17"/>
      <c r="W1437" s="66">
        <v>0.41597222222222219</v>
      </c>
      <c r="X1437" s="7">
        <v>93.2</v>
      </c>
      <c r="Y1437" s="7">
        <v>115.15</v>
      </c>
      <c r="Z1437" s="66">
        <v>0.41597222222222219</v>
      </c>
    </row>
    <row r="1438" spans="2:26" x14ac:dyDescent="0.3">
      <c r="B1438" s="17"/>
      <c r="C1438" s="17"/>
      <c r="D1438" s="16"/>
      <c r="E1438" s="16">
        <f>F1438-(G1438-F1438)</f>
        <v>97.449999999999989</v>
      </c>
      <c r="F1438" s="16">
        <f>AVERAGE(C1435,C1447)</f>
        <v>113.85</v>
      </c>
      <c r="G1438" s="16">
        <f>AVERAGE(C1434,C1446)</f>
        <v>130.25</v>
      </c>
      <c r="H1438" s="17"/>
      <c r="I1438" s="81"/>
      <c r="J1438" s="17"/>
      <c r="K1438" s="76"/>
      <c r="L1438" s="17"/>
      <c r="M1438" s="17"/>
      <c r="N1438" s="17"/>
      <c r="P1438" s="17"/>
      <c r="Q1438" s="17"/>
      <c r="R1438" s="17"/>
      <c r="S1438" s="17"/>
      <c r="T1438" s="17"/>
      <c r="U1438" s="17"/>
      <c r="V1438" s="16"/>
      <c r="W1438" s="66">
        <v>0.4368055555555555</v>
      </c>
      <c r="X1438" s="7">
        <v>76.55</v>
      </c>
      <c r="Y1438" s="7">
        <v>128.15</v>
      </c>
      <c r="Z1438" s="66">
        <v>0.4368055555555555</v>
      </c>
    </row>
    <row r="1439" spans="2:26" x14ac:dyDescent="0.3">
      <c r="B1439" s="17"/>
      <c r="C1439" s="95">
        <v>44265</v>
      </c>
      <c r="D1439" s="17"/>
      <c r="E1439" s="16">
        <f>E1438-(F1438-E1438)</f>
        <v>81.049999999999983</v>
      </c>
      <c r="F1439" s="16"/>
      <c r="G1439" s="16"/>
      <c r="H1439" s="66">
        <v>0.41944444444444445</v>
      </c>
      <c r="I1439" s="66">
        <v>0.4548611111111111</v>
      </c>
      <c r="J1439" s="66">
        <v>0.52083333333333337</v>
      </c>
      <c r="K1439" s="66">
        <v>6.805555555555555E-2</v>
      </c>
      <c r="L1439" s="66"/>
      <c r="M1439" s="66">
        <v>0.13541666666666666</v>
      </c>
      <c r="P1439" s="17"/>
      <c r="Q1439" s="7">
        <f>(T1439-R1439)*S1439</f>
        <v>1323.7500000000005</v>
      </c>
      <c r="R1439" s="18">
        <v>119.85</v>
      </c>
      <c r="S1439" s="5">
        <v>75</v>
      </c>
      <c r="T1439" s="7">
        <v>137.5</v>
      </c>
      <c r="U1439" s="70"/>
      <c r="V1439" s="17"/>
      <c r="W1439" s="66">
        <v>0.45763888888888887</v>
      </c>
      <c r="X1439" s="7">
        <v>67.150000000000006</v>
      </c>
      <c r="Y1439" s="7">
        <v>136.4</v>
      </c>
      <c r="Z1439" s="66">
        <v>0.45763888888888887</v>
      </c>
    </row>
    <row r="1440" spans="2:26" x14ac:dyDescent="0.3">
      <c r="B1440" s="90" t="s">
        <v>68</v>
      </c>
      <c r="C1440" s="66">
        <v>0.41666666666666669</v>
      </c>
      <c r="D1440" s="66">
        <v>0.41597222222222219</v>
      </c>
      <c r="E1440" s="16">
        <f>F1440-(G1440-F1440)</f>
        <v>102.875</v>
      </c>
      <c r="F1440" s="16">
        <f>AVERAGE(C1446,C1435)</f>
        <v>120.22499999999999</v>
      </c>
      <c r="G1440" s="16">
        <f>AVERAGE(C1445,C1434)</f>
        <v>137.57499999999999</v>
      </c>
      <c r="H1440" s="23">
        <v>120.2</v>
      </c>
      <c r="I1440" s="23">
        <v>137.5</v>
      </c>
      <c r="J1440" s="23">
        <v>102.8</v>
      </c>
      <c r="K1440" s="23">
        <v>120.2</v>
      </c>
      <c r="L1440" s="7"/>
      <c r="M1440" s="7"/>
      <c r="P1440" s="17"/>
      <c r="Q1440" s="7">
        <f>(T1440-R1440)*S1440</f>
        <v>-738.74999999999955</v>
      </c>
      <c r="R1440" s="18">
        <v>119.85</v>
      </c>
      <c r="S1440" s="5">
        <v>75</v>
      </c>
      <c r="T1440" s="7">
        <v>110</v>
      </c>
      <c r="U1440" s="70"/>
      <c r="V1440" s="17"/>
      <c r="W1440" s="66">
        <v>0.47847222222222219</v>
      </c>
      <c r="X1440" s="7">
        <v>82.2</v>
      </c>
      <c r="Y1440" s="7">
        <v>114.35</v>
      </c>
      <c r="Z1440" s="66">
        <v>0.47847222222222219</v>
      </c>
    </row>
    <row r="1441" spans="2:26" x14ac:dyDescent="0.3">
      <c r="B1441" s="5">
        <f>B1442+50</f>
        <v>15050</v>
      </c>
      <c r="C1441" s="7">
        <v>213.05</v>
      </c>
      <c r="D1441" s="7">
        <v>213.05</v>
      </c>
      <c r="E1441" s="16">
        <f>E1440-(F1440-E1440)</f>
        <v>85.525000000000006</v>
      </c>
      <c r="F1441" s="7">
        <f t="shared" ref="F1441:F1447" si="90">B1441-D1441</f>
        <v>14836.95</v>
      </c>
      <c r="G1441" s="17"/>
      <c r="H1441" s="7">
        <v>223</v>
      </c>
      <c r="I1441" s="7">
        <v>248.8</v>
      </c>
      <c r="J1441" s="7">
        <v>206.55</v>
      </c>
      <c r="K1441" s="7">
        <v>240.65</v>
      </c>
      <c r="L1441" s="7"/>
      <c r="M1441" s="7">
        <v>226.45</v>
      </c>
      <c r="N1441" s="17"/>
      <c r="P1441" s="17"/>
      <c r="Q1441" s="7">
        <f t="shared" ref="Q1441:Q1442" si="91">(T1441-R1441)*S1441</f>
        <v>0</v>
      </c>
      <c r="R1441" s="18"/>
      <c r="S1441" s="99"/>
      <c r="T1441" s="18"/>
      <c r="U1441" s="101"/>
      <c r="V1441" s="16"/>
      <c r="W1441" s="66">
        <v>0.4993055555555555</v>
      </c>
      <c r="X1441" s="7">
        <v>73.25</v>
      </c>
      <c r="Y1441" s="7">
        <v>118.6</v>
      </c>
      <c r="Z1441" s="66">
        <v>0.4993055555555555</v>
      </c>
    </row>
    <row r="1442" spans="2:26" x14ac:dyDescent="0.3">
      <c r="B1442" s="5">
        <f>B1443+50</f>
        <v>15000</v>
      </c>
      <c r="C1442" s="7">
        <v>193.4</v>
      </c>
      <c r="D1442" s="7">
        <v>193.4</v>
      </c>
      <c r="E1442" s="16"/>
      <c r="F1442" s="7">
        <f t="shared" si="90"/>
        <v>14806.6</v>
      </c>
      <c r="G1442" s="17"/>
      <c r="H1442" s="7">
        <v>201.95</v>
      </c>
      <c r="I1442" s="7">
        <v>223.75</v>
      </c>
      <c r="J1442" s="7">
        <v>185</v>
      </c>
      <c r="K1442" s="7">
        <v>215.55</v>
      </c>
      <c r="L1442" s="7"/>
      <c r="M1442" s="7">
        <v>200.1</v>
      </c>
      <c r="N1442" s="17"/>
      <c r="P1442" s="17"/>
      <c r="Q1442" s="7">
        <f t="shared" si="91"/>
        <v>0</v>
      </c>
      <c r="R1442" s="18"/>
      <c r="S1442" s="99"/>
      <c r="T1442" s="18"/>
      <c r="U1442" s="101"/>
      <c r="V1442" s="16"/>
      <c r="W1442" s="66">
        <v>0.52013888888888882</v>
      </c>
      <c r="X1442" s="7">
        <v>78.5</v>
      </c>
      <c r="Y1442" s="7">
        <v>106.7</v>
      </c>
      <c r="Z1442" s="66">
        <v>0.52013888888888882</v>
      </c>
    </row>
    <row r="1443" spans="2:26" x14ac:dyDescent="0.3">
      <c r="B1443" s="97">
        <v>14950</v>
      </c>
      <c r="C1443" s="7">
        <v>175.05</v>
      </c>
      <c r="D1443" s="7">
        <v>175.05</v>
      </c>
      <c r="E1443" s="16"/>
      <c r="F1443" s="7">
        <f t="shared" si="90"/>
        <v>14774.95</v>
      </c>
      <c r="G1443" s="17"/>
      <c r="H1443" s="7">
        <v>182</v>
      </c>
      <c r="I1443" s="7">
        <v>201.15</v>
      </c>
      <c r="J1443" s="7">
        <v>165.6</v>
      </c>
      <c r="K1443" s="7">
        <v>193.75</v>
      </c>
      <c r="L1443" s="7"/>
      <c r="M1443" s="7">
        <v>174.85</v>
      </c>
      <c r="N1443" s="17"/>
      <c r="P1443" s="17"/>
      <c r="Q1443" s="5" t="s">
        <v>112</v>
      </c>
      <c r="R1443" s="30">
        <f>SUM(Q1439:Q1442)</f>
        <v>585.00000000000091</v>
      </c>
      <c r="S1443" s="5">
        <f>SUM(S1439:S1442)</f>
        <v>150</v>
      </c>
      <c r="T1443" s="5">
        <f>(R1443/S1443)*2</f>
        <v>7.8000000000000123</v>
      </c>
      <c r="U1443" s="100"/>
      <c r="V1443" s="17"/>
      <c r="W1443" s="66">
        <v>0.54097222222222219</v>
      </c>
      <c r="X1443" s="7">
        <v>72</v>
      </c>
      <c r="Y1443" s="7">
        <v>108.25</v>
      </c>
      <c r="Z1443" s="66">
        <v>0.54097222222222219</v>
      </c>
    </row>
    <row r="1444" spans="2:26" x14ac:dyDescent="0.3">
      <c r="B1444" s="14">
        <f>B1443-50</f>
        <v>14900</v>
      </c>
      <c r="C1444" s="7">
        <v>158.30000000000001</v>
      </c>
      <c r="D1444" s="23">
        <v>158.30000000000001</v>
      </c>
      <c r="E1444" s="16"/>
      <c r="F1444" s="98">
        <f t="shared" si="90"/>
        <v>14741.7</v>
      </c>
      <c r="G1444" s="17"/>
      <c r="H1444" s="7">
        <v>164.35</v>
      </c>
      <c r="I1444" s="7">
        <v>180.05</v>
      </c>
      <c r="J1444" s="7">
        <v>147.35</v>
      </c>
      <c r="K1444" s="7">
        <v>171.95</v>
      </c>
      <c r="L1444" s="7"/>
      <c r="M1444" s="7">
        <v>152.4</v>
      </c>
      <c r="N1444" s="17"/>
      <c r="P1444" s="17"/>
      <c r="Q1444" s="17"/>
      <c r="R1444" s="17"/>
      <c r="S1444" s="17"/>
      <c r="T1444" s="17"/>
      <c r="U1444" s="17"/>
      <c r="V1444" s="17"/>
      <c r="W1444" s="66">
        <v>6.1805555555555558E-2</v>
      </c>
      <c r="X1444" s="7">
        <v>71.5</v>
      </c>
      <c r="Y1444" s="7">
        <v>104</v>
      </c>
      <c r="Z1444" s="66">
        <v>6.1805555555555558E-2</v>
      </c>
    </row>
    <row r="1445" spans="2:26" x14ac:dyDescent="0.3">
      <c r="B1445" s="99">
        <f>B1444-50</f>
        <v>14850</v>
      </c>
      <c r="C1445" s="7">
        <v>142.55000000000001</v>
      </c>
      <c r="D1445" s="7">
        <v>142.55000000000001</v>
      </c>
      <c r="E1445" s="16"/>
      <c r="F1445" s="7">
        <f t="shared" si="90"/>
        <v>14707.45</v>
      </c>
      <c r="G1445" s="17"/>
      <c r="H1445" s="7">
        <v>148.05000000000001</v>
      </c>
      <c r="I1445" s="7">
        <v>160.85</v>
      </c>
      <c r="J1445" s="7">
        <v>131</v>
      </c>
      <c r="K1445" s="7">
        <v>153.19999999999999</v>
      </c>
      <c r="L1445" s="7"/>
      <c r="M1445" s="7">
        <v>132.69999999999999</v>
      </c>
      <c r="N1445" s="17"/>
      <c r="P1445" s="17"/>
      <c r="Q1445" s="17"/>
      <c r="R1445" s="17"/>
      <c r="S1445" s="17"/>
      <c r="T1445" s="17"/>
      <c r="U1445" s="17"/>
      <c r="V1445" s="17"/>
      <c r="W1445" s="66">
        <v>8.2638888888888887E-2</v>
      </c>
      <c r="X1445" s="7">
        <v>51.8</v>
      </c>
      <c r="Y1445" s="7">
        <v>128.75</v>
      </c>
      <c r="Z1445" s="66">
        <v>8.2638888888888887E-2</v>
      </c>
    </row>
    <row r="1446" spans="2:26" x14ac:dyDescent="0.3">
      <c r="B1446" s="5">
        <f>B1445-50</f>
        <v>14800</v>
      </c>
      <c r="C1446" s="7">
        <v>127.9</v>
      </c>
      <c r="D1446" s="7">
        <v>127.9</v>
      </c>
      <c r="E1446" s="16"/>
      <c r="F1446" s="7">
        <f t="shared" si="90"/>
        <v>14672.1</v>
      </c>
      <c r="G1446" s="17"/>
      <c r="H1446" s="7">
        <v>133</v>
      </c>
      <c r="I1446" s="7">
        <v>144.19999999999999</v>
      </c>
      <c r="J1446" s="7">
        <v>116.2</v>
      </c>
      <c r="K1446" s="7">
        <v>135</v>
      </c>
      <c r="L1446" s="7"/>
      <c r="M1446" s="7">
        <v>113.9</v>
      </c>
      <c r="N1446" s="17"/>
      <c r="P1446" s="98">
        <f>SUM(R1437,R1443)</f>
        <v>585.00000000000091</v>
      </c>
      <c r="Q1446" s="92" t="s">
        <v>72</v>
      </c>
      <c r="R1446" s="17"/>
      <c r="S1446" s="92" t="s">
        <v>73</v>
      </c>
      <c r="T1446" s="7">
        <f>((X1438+Y1438)-(X1446+Y1446))</f>
        <v>13.5</v>
      </c>
      <c r="U1446" s="7"/>
      <c r="V1446" s="98">
        <f>T1446*M1426</f>
        <v>1012.5</v>
      </c>
      <c r="W1446" s="66">
        <v>6.805555555555555E-2</v>
      </c>
      <c r="X1446" s="7">
        <v>63.05</v>
      </c>
      <c r="Y1446" s="23">
        <v>128.15</v>
      </c>
      <c r="Z1446" s="66">
        <v>0.4368055555555555</v>
      </c>
    </row>
    <row r="1447" spans="2:26" x14ac:dyDescent="0.3">
      <c r="B1447" s="99">
        <v>14750</v>
      </c>
      <c r="C1447" s="51">
        <v>115.15</v>
      </c>
      <c r="D1447" s="7">
        <v>115.15</v>
      </c>
      <c r="F1447" s="7">
        <f t="shared" si="90"/>
        <v>14634.85</v>
      </c>
      <c r="H1447" s="7">
        <v>119.85</v>
      </c>
      <c r="I1447" s="7">
        <v>128.75</v>
      </c>
      <c r="J1447" s="7">
        <v>103.35</v>
      </c>
      <c r="K1447" s="7">
        <v>119.65</v>
      </c>
      <c r="L1447" s="7"/>
      <c r="M1447" s="7">
        <v>99.05</v>
      </c>
    </row>
    <row r="1448" spans="2:26" x14ac:dyDescent="0.3">
      <c r="H1448" s="102"/>
      <c r="I1448" s="102"/>
    </row>
    <row r="1458" spans="2:26" x14ac:dyDescent="0.3">
      <c r="B1458" s="40"/>
      <c r="C1458" s="50">
        <f>AVERAGE(B1459,D1458)</f>
        <v>15161.8</v>
      </c>
      <c r="D1458" s="51">
        <f>B1459+E1459</f>
        <v>15211.8</v>
      </c>
      <c r="E1458" s="50">
        <f>AVERAGE(D1458,F1458)</f>
        <v>15261.8</v>
      </c>
      <c r="F1458" s="50">
        <f>D1458+E1459</f>
        <v>15311.8</v>
      </c>
      <c r="G1458" s="17"/>
      <c r="H1458" s="88" t="str">
        <f>IF((C1467-D1467)&gt;(C1476-D1476),"LONG",IF(C1476&gt;D1474,"LONG","SHORT"))</f>
        <v>LONG</v>
      </c>
      <c r="I1458" s="146" t="s">
        <v>118</v>
      </c>
      <c r="J1458" s="147"/>
      <c r="K1458" s="148"/>
      <c r="L1458" s="17"/>
      <c r="M1458" s="17"/>
      <c r="N1458" s="17"/>
      <c r="P1458" s="16"/>
      <c r="Q1458" s="149" t="s">
        <v>71</v>
      </c>
      <c r="R1458" s="149"/>
      <c r="S1458" s="149" t="s">
        <v>37</v>
      </c>
      <c r="T1458" s="149"/>
      <c r="U1458" s="89"/>
      <c r="V1458" s="17"/>
      <c r="W1458" s="90" t="s">
        <v>68</v>
      </c>
      <c r="X1458" s="91" t="s">
        <v>69</v>
      </c>
      <c r="Y1458" s="92" t="s">
        <v>70</v>
      </c>
      <c r="Z1458" s="90" t="s">
        <v>68</v>
      </c>
    </row>
    <row r="1459" spans="2:26" x14ac:dyDescent="0.3">
      <c r="B1459" s="50">
        <v>15111.8</v>
      </c>
      <c r="C1459" s="40"/>
      <c r="D1459" s="58"/>
      <c r="E1459" s="59">
        <f>ROUND((((B1459*F1459%)/4)/10),0)*10</f>
        <v>100</v>
      </c>
      <c r="F1459" s="51">
        <f>(100/B1459)*(F1468-F1477)</f>
        <v>2.7600947603859263</v>
      </c>
      <c r="G1459" s="17"/>
      <c r="H1459" s="93">
        <v>0.39166666666666666</v>
      </c>
      <c r="I1459" s="93">
        <v>0.39861111111111108</v>
      </c>
      <c r="J1459" s="93">
        <v>0.4055555555555555</v>
      </c>
      <c r="K1459" s="93">
        <v>0.41250000000000003</v>
      </c>
      <c r="L1459" s="17"/>
      <c r="M1459" s="94">
        <f>ROUND((97000/(76*2))/225,0)*75</f>
        <v>225</v>
      </c>
      <c r="N1459" s="17"/>
      <c r="P1459" s="16"/>
      <c r="Q1459" s="51">
        <f>R1459-(S1459-R1459)</f>
        <v>14127.099999999999</v>
      </c>
      <c r="R1459" s="51">
        <v>14639.55</v>
      </c>
      <c r="S1459" s="51">
        <v>15152</v>
      </c>
      <c r="T1459" s="51">
        <f>S1459+(S1459-R1459)</f>
        <v>15664.45</v>
      </c>
      <c r="U1459" s="62"/>
      <c r="V1459" s="17"/>
      <c r="W1459" s="66">
        <v>0.41597222222222219</v>
      </c>
      <c r="X1459" s="7">
        <v>89.35</v>
      </c>
      <c r="Y1459" s="7">
        <v>126.55</v>
      </c>
      <c r="Z1459" s="66">
        <v>0.41597222222222219</v>
      </c>
    </row>
    <row r="1460" spans="2:26" x14ac:dyDescent="0.3">
      <c r="B1460" s="40"/>
      <c r="C1460" s="50">
        <f>AVERAGE(B1459,D1460)</f>
        <v>15061.8</v>
      </c>
      <c r="D1460" s="51">
        <f>B1459-E1459</f>
        <v>15011.8</v>
      </c>
      <c r="E1460" s="50">
        <f>AVERAGE(D1460,F1460)</f>
        <v>14961.8</v>
      </c>
      <c r="F1460" s="50">
        <f>D1460-E1459</f>
        <v>14911.8</v>
      </c>
      <c r="G1460" s="17"/>
      <c r="H1460" s="51">
        <v>15046.45</v>
      </c>
      <c r="I1460" s="51">
        <v>15043.65</v>
      </c>
      <c r="J1460" s="51">
        <v>15045.5</v>
      </c>
      <c r="K1460" s="51">
        <v>15095</v>
      </c>
      <c r="L1460" s="17"/>
      <c r="M1460" s="17"/>
      <c r="N1460" s="17"/>
      <c r="P1460" s="16"/>
      <c r="Q1460" s="17"/>
      <c r="R1460" s="17"/>
      <c r="S1460" s="17"/>
      <c r="T1460" s="16"/>
      <c r="U1460" s="16"/>
      <c r="V1460" s="17"/>
      <c r="W1460" s="66">
        <v>0.4368055555555555</v>
      </c>
      <c r="X1460" s="7">
        <v>84.4</v>
      </c>
      <c r="Y1460" s="7">
        <v>129</v>
      </c>
      <c r="Z1460" s="66">
        <v>0.4368055555555555</v>
      </c>
    </row>
    <row r="1461" spans="2:26" x14ac:dyDescent="0.3">
      <c r="B1461" s="17"/>
      <c r="C1461" s="17"/>
      <c r="D1461" s="17"/>
      <c r="E1461" s="17"/>
      <c r="F1461" s="16"/>
      <c r="G1461" s="16"/>
      <c r="H1461" s="17"/>
      <c r="I1461" s="17"/>
      <c r="J1461" s="17"/>
      <c r="K1461" s="16"/>
      <c r="L1461" s="17"/>
      <c r="M1461" s="17"/>
      <c r="N1461" s="17"/>
      <c r="P1461" s="16"/>
      <c r="Q1461" s="17"/>
      <c r="R1461" s="17"/>
      <c r="S1461" s="17"/>
      <c r="T1461" s="17"/>
      <c r="U1461" s="17"/>
      <c r="V1461" s="17"/>
      <c r="W1461" s="66">
        <v>0.45763888888888887</v>
      </c>
      <c r="X1461" s="7">
        <v>65</v>
      </c>
      <c r="Y1461" s="7">
        <v>161.1</v>
      </c>
      <c r="Z1461" s="66">
        <v>0.45763888888888887</v>
      </c>
    </row>
    <row r="1462" spans="2:26" x14ac:dyDescent="0.3">
      <c r="B1462" s="16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P1462" s="16"/>
      <c r="Q1462" s="17"/>
      <c r="R1462" s="17"/>
      <c r="S1462" s="17"/>
      <c r="T1462" s="17"/>
      <c r="U1462" s="17"/>
      <c r="V1462" s="17"/>
      <c r="W1462" s="66">
        <v>0.47847222222222219</v>
      </c>
      <c r="X1462" s="7">
        <v>65.150000000000006</v>
      </c>
      <c r="Y1462" s="7">
        <v>152.1</v>
      </c>
      <c r="Z1462" s="66">
        <v>0.47847222222222219</v>
      </c>
    </row>
    <row r="1463" spans="2:26" x14ac:dyDescent="0.3">
      <c r="B1463" s="17"/>
      <c r="C1463" s="95">
        <v>44263</v>
      </c>
      <c r="D1463" s="17"/>
      <c r="E1463" s="17"/>
      <c r="F1463" s="7">
        <f>AVERAGE(F1465,F1474)</f>
        <v>15097.4</v>
      </c>
      <c r="G1463" s="96"/>
      <c r="H1463" s="66">
        <v>0.43888888888888888</v>
      </c>
      <c r="I1463" s="66">
        <v>0.4458333333333333</v>
      </c>
      <c r="J1463" s="66">
        <v>0.53125</v>
      </c>
      <c r="K1463" s="66"/>
      <c r="L1463" s="66"/>
      <c r="M1463" s="66">
        <v>0.13541666666666666</v>
      </c>
      <c r="N1463" s="17"/>
      <c r="P1463" s="16"/>
      <c r="Q1463" s="17"/>
      <c r="R1463" s="17"/>
      <c r="S1463" s="17"/>
      <c r="T1463" s="17"/>
      <c r="U1463" s="17"/>
      <c r="V1463" s="17"/>
      <c r="W1463" s="66">
        <v>0.4993055555555555</v>
      </c>
      <c r="X1463" s="7">
        <v>64.2</v>
      </c>
      <c r="Y1463" s="7">
        <v>146.55000000000001</v>
      </c>
      <c r="Z1463" s="66">
        <v>0.4993055555555555</v>
      </c>
    </row>
    <row r="1464" spans="2:26" x14ac:dyDescent="0.3">
      <c r="B1464" s="90" t="s">
        <v>68</v>
      </c>
      <c r="C1464" s="66">
        <v>0.41666666666666669</v>
      </c>
      <c r="D1464" s="66">
        <v>0.4055555555555555</v>
      </c>
      <c r="E1464" s="17"/>
      <c r="F1464" s="17"/>
      <c r="G1464" s="17"/>
      <c r="H1464" s="7">
        <v>15085.05</v>
      </c>
      <c r="I1464" s="7">
        <v>15026.3</v>
      </c>
      <c r="J1464" s="23">
        <v>26.5</v>
      </c>
      <c r="K1464" s="7"/>
      <c r="L1464" s="7"/>
      <c r="M1464" s="7">
        <v>14978.9</v>
      </c>
      <c r="N1464" s="17"/>
      <c r="P1464" s="16"/>
      <c r="Q1464" s="145" t="s">
        <v>72</v>
      </c>
      <c r="R1464" s="145"/>
      <c r="S1464" s="145"/>
      <c r="T1464" s="145"/>
      <c r="U1464" s="83"/>
      <c r="V1464" s="17"/>
      <c r="W1464" s="66">
        <v>0.52013888888888882</v>
      </c>
      <c r="X1464" s="7">
        <v>57.35</v>
      </c>
      <c r="Y1464" s="7">
        <v>156.75</v>
      </c>
      <c r="Z1464" s="66">
        <v>0.52013888888888882</v>
      </c>
    </row>
    <row r="1465" spans="2:26" x14ac:dyDescent="0.3">
      <c r="B1465" s="5">
        <f>B1466-50</f>
        <v>15100</v>
      </c>
      <c r="C1465" s="7">
        <v>136.30000000000001</v>
      </c>
      <c r="D1465" s="7">
        <v>118.15</v>
      </c>
      <c r="E1465" s="16"/>
      <c r="F1465" s="7">
        <f t="shared" ref="F1465:F1470" si="92">B1465+D1465</f>
        <v>15218.15</v>
      </c>
      <c r="G1465" s="17"/>
      <c r="H1465" s="7">
        <v>122.05</v>
      </c>
      <c r="I1465" s="7">
        <v>100</v>
      </c>
      <c r="J1465" s="7">
        <v>84.55</v>
      </c>
      <c r="K1465" s="7"/>
      <c r="L1465" s="7"/>
      <c r="M1465" s="7">
        <v>69</v>
      </c>
      <c r="N1465" s="17"/>
      <c r="P1465" s="17"/>
      <c r="Q1465" s="26"/>
      <c r="R1465" s="34" t="s">
        <v>2</v>
      </c>
      <c r="S1465" s="34" t="s">
        <v>111</v>
      </c>
      <c r="T1465" s="34" t="s">
        <v>1</v>
      </c>
      <c r="U1465" s="84"/>
      <c r="V1465" s="17"/>
      <c r="W1465" s="66">
        <v>0.54097222222222219</v>
      </c>
      <c r="X1465" s="7">
        <v>50</v>
      </c>
      <c r="Y1465" s="7">
        <v>178</v>
      </c>
      <c r="Z1465" s="66">
        <v>0.54097222222222219</v>
      </c>
    </row>
    <row r="1466" spans="2:26" x14ac:dyDescent="0.3">
      <c r="B1466" s="5">
        <f>B1467-50</f>
        <v>15150</v>
      </c>
      <c r="C1466" s="7">
        <v>111.8</v>
      </c>
      <c r="D1466" s="7">
        <v>96.35</v>
      </c>
      <c r="E1466" s="16"/>
      <c r="F1466" s="7">
        <f t="shared" si="92"/>
        <v>15246.35</v>
      </c>
      <c r="G1466" s="17"/>
      <c r="H1466" s="7">
        <v>98.75</v>
      </c>
      <c r="I1466" s="7">
        <v>80.349999999999994</v>
      </c>
      <c r="J1466" s="7">
        <v>66.150000000000006</v>
      </c>
      <c r="K1466" s="7"/>
      <c r="L1466" s="7"/>
      <c r="M1466" s="7">
        <v>53.15</v>
      </c>
      <c r="N1466" s="17"/>
      <c r="P1466" s="17"/>
      <c r="Q1466" s="7">
        <f>(T1466-R1466)*S1466</f>
        <v>0</v>
      </c>
      <c r="R1466" s="7"/>
      <c r="S1466" s="5"/>
      <c r="T1466" s="7"/>
      <c r="U1466" s="70"/>
      <c r="V1466" s="17"/>
      <c r="W1466" s="66">
        <v>6.1805555555555558E-2</v>
      </c>
      <c r="X1466" s="7">
        <v>49.8</v>
      </c>
      <c r="Y1466" s="7">
        <v>169.55</v>
      </c>
      <c r="Z1466" s="66">
        <v>6.1805555555555558E-2</v>
      </c>
    </row>
    <row r="1467" spans="2:26" x14ac:dyDescent="0.3">
      <c r="B1467" s="97">
        <v>15200</v>
      </c>
      <c r="C1467" s="7">
        <v>89.35</v>
      </c>
      <c r="D1467" s="7">
        <v>77</v>
      </c>
      <c r="E1467" s="16"/>
      <c r="F1467" s="7">
        <f t="shared" si="92"/>
        <v>15277</v>
      </c>
      <c r="G1467" s="17"/>
      <c r="H1467" s="7">
        <v>77.3</v>
      </c>
      <c r="I1467" s="7">
        <v>62.55</v>
      </c>
      <c r="J1467" s="7">
        <v>51</v>
      </c>
      <c r="K1467" s="7"/>
      <c r="L1467" s="7"/>
      <c r="M1467" s="7">
        <v>40</v>
      </c>
      <c r="N1467" s="17"/>
      <c r="P1467" s="17"/>
      <c r="Q1467" s="7">
        <f>(T1467-R1467)*S1467</f>
        <v>0</v>
      </c>
      <c r="R1467" s="7"/>
      <c r="S1467" s="5"/>
      <c r="T1467" s="7"/>
      <c r="U1467" s="70"/>
      <c r="V1467" s="17"/>
      <c r="W1467" s="66">
        <v>8.2638888888888887E-2</v>
      </c>
      <c r="X1467" s="7">
        <v>43.45</v>
      </c>
      <c r="Y1467" s="7">
        <v>183.65</v>
      </c>
      <c r="Z1467" s="66">
        <v>8.2638888888888887E-2</v>
      </c>
    </row>
    <row r="1468" spans="2:26" x14ac:dyDescent="0.3">
      <c r="B1468" s="5">
        <f>B1467+50</f>
        <v>15250</v>
      </c>
      <c r="C1468" s="7">
        <v>69.75</v>
      </c>
      <c r="D1468" s="7">
        <v>60.25</v>
      </c>
      <c r="E1468" s="16"/>
      <c r="F1468" s="98">
        <f t="shared" si="92"/>
        <v>15310.25</v>
      </c>
      <c r="G1468" s="17"/>
      <c r="H1468" s="7">
        <v>59.5</v>
      </c>
      <c r="I1468" s="7">
        <v>47.8</v>
      </c>
      <c r="J1468" s="7">
        <v>38</v>
      </c>
      <c r="K1468" s="7"/>
      <c r="L1468" s="7"/>
      <c r="M1468" s="7">
        <v>29.5</v>
      </c>
      <c r="N1468" s="17"/>
      <c r="P1468" s="17"/>
      <c r="Q1468" s="7">
        <f>(T1468-R1468)*S1468</f>
        <v>0</v>
      </c>
      <c r="R1468" s="7"/>
      <c r="S1468" s="5"/>
      <c r="T1468" s="7"/>
      <c r="U1468" s="70"/>
      <c r="V1468" s="17"/>
      <c r="W1468" s="17"/>
      <c r="X1468" s="17"/>
      <c r="Y1468" s="17"/>
      <c r="Z1468" s="17"/>
    </row>
    <row r="1469" spans="2:26" x14ac:dyDescent="0.3">
      <c r="B1469" s="99">
        <f>B1468+50</f>
        <v>15300</v>
      </c>
      <c r="C1469" s="51">
        <v>53.8</v>
      </c>
      <c r="D1469" s="7">
        <v>46.45</v>
      </c>
      <c r="E1469" s="16"/>
      <c r="F1469" s="7">
        <f t="shared" si="92"/>
        <v>15346.45</v>
      </c>
      <c r="G1469" s="17"/>
      <c r="H1469" s="7">
        <v>44.6</v>
      </c>
      <c r="I1469" s="7">
        <v>35.85</v>
      </c>
      <c r="J1469" s="7">
        <v>28.3</v>
      </c>
      <c r="K1469" s="7"/>
      <c r="L1469" s="7"/>
      <c r="M1469" s="7">
        <v>21.55</v>
      </c>
      <c r="N1469" s="17"/>
      <c r="P1469" s="17"/>
      <c r="Q1469" s="7">
        <f>(T1469-R1469)*S1469</f>
        <v>0</v>
      </c>
      <c r="R1469" s="7"/>
      <c r="S1469" s="5"/>
      <c r="T1469" s="7"/>
      <c r="U1469" s="70"/>
      <c r="V1469" s="17"/>
      <c r="W1469" s="90" t="s">
        <v>68</v>
      </c>
      <c r="X1469" s="91" t="s">
        <v>69</v>
      </c>
      <c r="Y1469" s="92" t="s">
        <v>70</v>
      </c>
      <c r="Z1469" s="90" t="s">
        <v>68</v>
      </c>
    </row>
    <row r="1470" spans="2:26" x14ac:dyDescent="0.3">
      <c r="B1470" s="5">
        <f>B1469+50</f>
        <v>15350</v>
      </c>
      <c r="C1470" s="7">
        <v>40.549999999999997</v>
      </c>
      <c r="D1470" s="7">
        <v>35.15</v>
      </c>
      <c r="E1470" s="16"/>
      <c r="F1470" s="7">
        <f t="shared" si="92"/>
        <v>15385.15</v>
      </c>
      <c r="G1470" s="17"/>
      <c r="H1470" s="7">
        <v>32.799999999999997</v>
      </c>
      <c r="I1470" s="7">
        <v>26.5</v>
      </c>
      <c r="J1470" s="7">
        <v>20.65</v>
      </c>
      <c r="K1470" s="7"/>
      <c r="L1470" s="7"/>
      <c r="M1470" s="7">
        <v>15.55</v>
      </c>
      <c r="N1470" s="17"/>
      <c r="P1470" s="17"/>
      <c r="Q1470" s="5" t="s">
        <v>112</v>
      </c>
      <c r="R1470" s="30">
        <f>SUM(Q1466:Q1469)</f>
        <v>0</v>
      </c>
      <c r="S1470" s="5">
        <f>SUM(S1466:S1469)</f>
        <v>0</v>
      </c>
      <c r="T1470" s="5" t="e">
        <f>(R1470/S1470)*2</f>
        <v>#DIV/0!</v>
      </c>
      <c r="U1470" s="100"/>
      <c r="V1470" s="17"/>
      <c r="W1470" s="66">
        <v>0.41597222222222219</v>
      </c>
      <c r="X1470" s="7">
        <v>53.8</v>
      </c>
      <c r="Y1470" s="7">
        <v>75</v>
      </c>
      <c r="Z1470" s="66">
        <v>0.41597222222222219</v>
      </c>
    </row>
    <row r="1471" spans="2:26" x14ac:dyDescent="0.3">
      <c r="B1471" s="17"/>
      <c r="C1471" s="17"/>
      <c r="D1471" s="16"/>
      <c r="E1471" s="16">
        <f>F1471-(G1471-F1471)</f>
        <v>54.875</v>
      </c>
      <c r="F1471" s="16">
        <f>AVERAGE(C1468,C1479)</f>
        <v>72.375</v>
      </c>
      <c r="G1471" s="16">
        <f>AVERAGE(C1467,C1478)</f>
        <v>89.875</v>
      </c>
      <c r="H1471" s="17"/>
      <c r="I1471" s="81"/>
      <c r="J1471" s="17"/>
      <c r="K1471" s="76"/>
      <c r="L1471" s="17"/>
      <c r="M1471" s="17"/>
      <c r="N1471" s="17"/>
      <c r="P1471" s="17"/>
      <c r="Q1471" s="17"/>
      <c r="R1471" s="17"/>
      <c r="S1471" s="17"/>
      <c r="T1471" s="17"/>
      <c r="U1471" s="17"/>
      <c r="V1471" s="16"/>
      <c r="W1471" s="66">
        <v>0.4368055555555555</v>
      </c>
      <c r="X1471" s="7">
        <v>49.4</v>
      </c>
      <c r="Y1471" s="7">
        <v>76.5</v>
      </c>
      <c r="Z1471" s="66">
        <v>0.4368055555555555</v>
      </c>
    </row>
    <row r="1472" spans="2:26" x14ac:dyDescent="0.3">
      <c r="B1472" s="17"/>
      <c r="C1472" s="95">
        <v>44265</v>
      </c>
      <c r="D1472" s="17"/>
      <c r="E1472" s="16">
        <f>E1471-(F1471-E1471)</f>
        <v>37.375</v>
      </c>
      <c r="F1472" s="16"/>
      <c r="G1472" s="16"/>
      <c r="H1472" s="66">
        <v>0.43888888888888888</v>
      </c>
      <c r="I1472" s="66">
        <v>0.4458333333333333</v>
      </c>
      <c r="J1472" s="66">
        <v>0.53125</v>
      </c>
      <c r="K1472" s="66"/>
      <c r="L1472" s="66"/>
      <c r="M1472" s="66">
        <v>0.13541666666666666</v>
      </c>
      <c r="P1472" s="17"/>
      <c r="Q1472" s="7">
        <f>(T1472-R1472)*S1472</f>
        <v>1394.9999999999995</v>
      </c>
      <c r="R1472" s="18">
        <v>79.5</v>
      </c>
      <c r="S1472" s="5">
        <v>75</v>
      </c>
      <c r="T1472" s="7">
        <v>98.1</v>
      </c>
      <c r="U1472" s="70"/>
      <c r="V1472" s="17"/>
      <c r="W1472" s="66">
        <v>0.45763888888888887</v>
      </c>
      <c r="X1472" s="7">
        <v>37.15</v>
      </c>
      <c r="Y1472" s="7">
        <v>97.65</v>
      </c>
      <c r="Z1472" s="66">
        <v>0.45763888888888887</v>
      </c>
    </row>
    <row r="1473" spans="2:26" x14ac:dyDescent="0.3">
      <c r="B1473" s="90" t="s">
        <v>68</v>
      </c>
      <c r="C1473" s="66">
        <v>0.41666666666666669</v>
      </c>
      <c r="D1473" s="66">
        <v>0.41597222222222219</v>
      </c>
      <c r="E1473" s="16">
        <f>F1473-(G1473-F1473)</f>
        <v>62.050000000000011</v>
      </c>
      <c r="F1473" s="16">
        <f>AVERAGE(C1478,C1468)</f>
        <v>80.075000000000003</v>
      </c>
      <c r="G1473" s="16">
        <f>AVERAGE(C1477,C1467)</f>
        <v>98.1</v>
      </c>
      <c r="H1473" s="23">
        <v>80</v>
      </c>
      <c r="I1473" s="23">
        <v>98.1</v>
      </c>
      <c r="J1473" s="7">
        <v>14996</v>
      </c>
      <c r="K1473" s="7"/>
      <c r="L1473" s="7"/>
      <c r="M1473" s="7">
        <v>14978.9</v>
      </c>
      <c r="P1473" s="17"/>
      <c r="Q1473" s="7">
        <f>(T1473-R1473)*S1473</f>
        <v>1484.9999999999998</v>
      </c>
      <c r="R1473" s="18">
        <v>79.5</v>
      </c>
      <c r="S1473" s="5">
        <v>75</v>
      </c>
      <c r="T1473" s="7">
        <v>99.3</v>
      </c>
      <c r="U1473" s="70"/>
      <c r="V1473" s="17"/>
      <c r="W1473" s="66">
        <v>0.47847222222222219</v>
      </c>
      <c r="X1473" s="7">
        <v>36.799999999999997</v>
      </c>
      <c r="Y1473" s="7">
        <v>92.1</v>
      </c>
      <c r="Z1473" s="66">
        <v>0.47847222222222219</v>
      </c>
    </row>
    <row r="1474" spans="2:26" x14ac:dyDescent="0.3">
      <c r="B1474" s="5">
        <f>B1475+50</f>
        <v>15150</v>
      </c>
      <c r="C1474" s="7">
        <v>173.35</v>
      </c>
      <c r="D1474" s="7">
        <v>173.35</v>
      </c>
      <c r="E1474" s="16">
        <f>E1473-(F1473-E1473)</f>
        <v>44.02500000000002</v>
      </c>
      <c r="F1474" s="7">
        <f t="shared" ref="F1474:F1479" si="93">B1474-D1474</f>
        <v>14976.65</v>
      </c>
      <c r="G1474" s="17"/>
      <c r="H1474" s="7">
        <v>183.55</v>
      </c>
      <c r="I1474" s="7">
        <v>220.9</v>
      </c>
      <c r="J1474" s="7">
        <v>237.2</v>
      </c>
      <c r="K1474" s="7"/>
      <c r="L1474" s="7"/>
      <c r="M1474" s="7">
        <v>240.05</v>
      </c>
      <c r="N1474" s="17"/>
      <c r="P1474" s="17"/>
      <c r="Q1474" s="7">
        <f t="shared" ref="Q1474:Q1475" si="94">(T1474-R1474)*S1474</f>
        <v>0</v>
      </c>
      <c r="R1474" s="18"/>
      <c r="S1474" s="99"/>
      <c r="T1474" s="18"/>
      <c r="U1474" s="70"/>
      <c r="V1474" s="16"/>
      <c r="W1474" s="66">
        <v>0.4993055555555555</v>
      </c>
      <c r="X1474" s="7">
        <v>35.65</v>
      </c>
      <c r="Y1474" s="7">
        <v>87.4</v>
      </c>
      <c r="Z1474" s="66">
        <v>0.4993055555555555</v>
      </c>
    </row>
    <row r="1475" spans="2:26" x14ac:dyDescent="0.3">
      <c r="B1475" s="5">
        <f>B1476+50</f>
        <v>15100</v>
      </c>
      <c r="C1475" s="7">
        <v>148.19999999999999</v>
      </c>
      <c r="D1475" s="7">
        <v>148.19999999999999</v>
      </c>
      <c r="E1475" s="16"/>
      <c r="F1475" s="7">
        <f t="shared" si="93"/>
        <v>14951.8</v>
      </c>
      <c r="G1475" s="17"/>
      <c r="H1475" s="7">
        <v>157.30000000000001</v>
      </c>
      <c r="I1475" s="7">
        <v>191.45</v>
      </c>
      <c r="J1475" s="7">
        <v>205.45</v>
      </c>
      <c r="K1475" s="7"/>
      <c r="L1475" s="7"/>
      <c r="M1475" s="7">
        <v>204.95</v>
      </c>
      <c r="N1475" s="17"/>
      <c r="P1475" s="17"/>
      <c r="Q1475" s="7">
        <f t="shared" si="94"/>
        <v>0</v>
      </c>
      <c r="R1475" s="18"/>
      <c r="S1475" s="99"/>
      <c r="T1475" s="18"/>
      <c r="U1475" s="70"/>
      <c r="V1475" s="16"/>
      <c r="W1475" s="66">
        <v>0.52013888888888882</v>
      </c>
      <c r="X1475" s="7">
        <v>31.55</v>
      </c>
      <c r="Y1475" s="7">
        <v>93</v>
      </c>
      <c r="Z1475" s="66">
        <v>0.52013888888888882</v>
      </c>
    </row>
    <row r="1476" spans="2:26" x14ac:dyDescent="0.3">
      <c r="B1476" s="97">
        <v>15050</v>
      </c>
      <c r="C1476" s="7">
        <v>126.55</v>
      </c>
      <c r="D1476" s="7">
        <v>126.55</v>
      </c>
      <c r="E1476" s="16"/>
      <c r="F1476" s="7">
        <f t="shared" si="93"/>
        <v>14923.45</v>
      </c>
      <c r="G1476" s="17"/>
      <c r="H1476" s="7">
        <v>133.4</v>
      </c>
      <c r="I1476" s="7">
        <v>164.45</v>
      </c>
      <c r="J1476" s="7">
        <v>175.75</v>
      </c>
      <c r="K1476" s="7"/>
      <c r="L1476" s="7"/>
      <c r="M1476" s="7">
        <v>173.8</v>
      </c>
      <c r="N1476" s="17"/>
      <c r="P1476" s="17"/>
      <c r="Q1476" s="5" t="s">
        <v>112</v>
      </c>
      <c r="R1476" s="30">
        <f>SUM(Q1472:Q1475)</f>
        <v>2879.9999999999991</v>
      </c>
      <c r="S1476" s="5">
        <f>SUM(S1472:S1475)</f>
        <v>150</v>
      </c>
      <c r="T1476" s="5">
        <f>(R1476/S1476)*2</f>
        <v>38.399999999999984</v>
      </c>
      <c r="U1476" s="100"/>
      <c r="V1476" s="17"/>
      <c r="W1476" s="66">
        <v>0.54097222222222219</v>
      </c>
      <c r="X1476" s="7">
        <v>28.2</v>
      </c>
      <c r="Y1476" s="7">
        <v>107.15</v>
      </c>
      <c r="Z1476" s="66">
        <v>0.54097222222222219</v>
      </c>
    </row>
    <row r="1477" spans="2:26" x14ac:dyDescent="0.3">
      <c r="B1477" s="14">
        <f>B1476-50</f>
        <v>15000</v>
      </c>
      <c r="C1477" s="7">
        <v>106.85</v>
      </c>
      <c r="D1477" s="23">
        <v>106.85</v>
      </c>
      <c r="E1477" s="16"/>
      <c r="F1477" s="98">
        <f t="shared" si="93"/>
        <v>14893.15</v>
      </c>
      <c r="G1477" s="17"/>
      <c r="H1477" s="7">
        <v>113.45</v>
      </c>
      <c r="I1477" s="7">
        <v>140.05000000000001</v>
      </c>
      <c r="J1477" s="7">
        <v>150.30000000000001</v>
      </c>
      <c r="K1477" s="7"/>
      <c r="L1477" s="7"/>
      <c r="M1477" s="7">
        <v>145.4</v>
      </c>
      <c r="N1477" s="17"/>
      <c r="P1477" s="17"/>
      <c r="Q1477" s="17"/>
      <c r="R1477" s="17"/>
      <c r="S1477" s="17"/>
      <c r="T1477" s="17"/>
      <c r="U1477" s="17"/>
      <c r="V1477" s="17"/>
      <c r="W1477" s="66">
        <v>6.1805555555555558E-2</v>
      </c>
      <c r="X1477" s="7">
        <v>27.4</v>
      </c>
      <c r="Y1477" s="7">
        <v>100.6</v>
      </c>
      <c r="Z1477" s="66">
        <v>6.1805555555555558E-2</v>
      </c>
    </row>
    <row r="1478" spans="2:26" x14ac:dyDescent="0.3">
      <c r="B1478" s="99">
        <f>B1477-50</f>
        <v>14950</v>
      </c>
      <c r="C1478" s="7">
        <v>90.4</v>
      </c>
      <c r="D1478" s="7">
        <v>90.4</v>
      </c>
      <c r="E1478" s="16"/>
      <c r="F1478" s="7">
        <f t="shared" si="93"/>
        <v>14859.6</v>
      </c>
      <c r="G1478" s="17"/>
      <c r="H1478" s="7">
        <v>95.1</v>
      </c>
      <c r="I1478" s="7">
        <v>117.85</v>
      </c>
      <c r="J1478" s="7">
        <v>127.65</v>
      </c>
      <c r="K1478" s="7"/>
      <c r="L1478" s="7"/>
      <c r="M1478" s="7">
        <v>120.7</v>
      </c>
      <c r="N1478" s="17"/>
      <c r="P1478" s="17"/>
      <c r="Q1478" s="17"/>
      <c r="R1478" s="17"/>
      <c r="S1478" s="17"/>
      <c r="T1478" s="17"/>
      <c r="U1478" s="17"/>
      <c r="V1478" s="17"/>
      <c r="W1478" s="66">
        <v>8.2638888888888887E-2</v>
      </c>
      <c r="X1478" s="7">
        <v>23.9</v>
      </c>
      <c r="Y1478" s="7">
        <v>108.95</v>
      </c>
      <c r="Z1478" s="66">
        <v>8.2638888888888887E-2</v>
      </c>
    </row>
    <row r="1479" spans="2:26" x14ac:dyDescent="0.3">
      <c r="B1479" s="5">
        <f>B1478-50</f>
        <v>14900</v>
      </c>
      <c r="C1479" s="51">
        <v>75</v>
      </c>
      <c r="D1479" s="7">
        <v>75</v>
      </c>
      <c r="E1479" s="16"/>
      <c r="F1479" s="7">
        <f t="shared" si="93"/>
        <v>14825</v>
      </c>
      <c r="G1479" s="17"/>
      <c r="H1479" s="7">
        <v>79.5</v>
      </c>
      <c r="I1479" s="7">
        <v>99.3</v>
      </c>
      <c r="J1479" s="7">
        <v>106.85</v>
      </c>
      <c r="K1479" s="7"/>
      <c r="L1479" s="7"/>
      <c r="M1479" s="7">
        <v>98.45</v>
      </c>
      <c r="N1479" s="17"/>
      <c r="P1479" s="98">
        <f>SUM(R1470,R1476)</f>
        <v>2879.9999999999991</v>
      </c>
      <c r="Q1479" s="92" t="s">
        <v>72</v>
      </c>
      <c r="R1479" s="17"/>
      <c r="S1479" s="92" t="s">
        <v>73</v>
      </c>
      <c r="T1479" s="7">
        <f>((X1471+Y1471)-(X1479+Y1479))</f>
        <v>13.600000000000009</v>
      </c>
      <c r="U1479" s="7"/>
      <c r="V1479" s="98">
        <f>T1479*M1459</f>
        <v>3060.0000000000018</v>
      </c>
      <c r="W1479" s="66">
        <v>0.44791666666666669</v>
      </c>
      <c r="X1479" s="7">
        <v>32.799999999999997</v>
      </c>
      <c r="Y1479" s="23">
        <v>79.5</v>
      </c>
      <c r="Z1479" s="66">
        <v>0.43888888888888888</v>
      </c>
    </row>
    <row r="1480" spans="2:26" x14ac:dyDescent="0.3">
      <c r="H1480" s="102">
        <f>H1479-(H1478-H1479)</f>
        <v>63.900000000000006</v>
      </c>
      <c r="I1480" s="102">
        <f>I1479-(I1478-I1479)</f>
        <v>80.75</v>
      </c>
      <c r="J1480" s="40"/>
    </row>
    <row r="1481" spans="2:26" x14ac:dyDescent="0.3">
      <c r="H1481" s="40"/>
      <c r="I1481" s="40"/>
      <c r="J1481" s="40"/>
      <c r="M1481" s="40"/>
    </row>
    <row r="1491" spans="2:26" x14ac:dyDescent="0.3">
      <c r="B1491" s="40"/>
      <c r="C1491" s="50">
        <f>AVERAGE(B1492,D1491)</f>
        <v>15130</v>
      </c>
      <c r="D1491" s="51">
        <f>B1492+E1492</f>
        <v>15165</v>
      </c>
      <c r="E1491" s="50">
        <f>AVERAGE(D1491,F1491)</f>
        <v>15200</v>
      </c>
      <c r="F1491" s="50">
        <f>D1491+E1492</f>
        <v>15235</v>
      </c>
      <c r="G1491" s="17"/>
      <c r="H1491" s="88" t="str">
        <f>IF((C1500-D1500)&gt;(C1509-D1509),"LONG",IF(C1509&gt;D1507,"LONG","SHORT"))</f>
        <v>SHORT</v>
      </c>
      <c r="I1491" s="146" t="s">
        <v>119</v>
      </c>
      <c r="J1491" s="147"/>
      <c r="K1491" s="148"/>
      <c r="L1491" s="17"/>
      <c r="M1491" s="94">
        <f>(192000*2)/3</f>
        <v>128000</v>
      </c>
      <c r="N1491" s="17"/>
      <c r="P1491" s="16"/>
      <c r="Q1491" s="149" t="s">
        <v>71</v>
      </c>
      <c r="R1491" s="149"/>
      <c r="S1491" s="149" t="s">
        <v>37</v>
      </c>
      <c r="T1491" s="149"/>
      <c r="U1491" s="89"/>
      <c r="V1491" s="17"/>
      <c r="W1491" s="90" t="s">
        <v>68</v>
      </c>
      <c r="X1491" s="91" t="s">
        <v>69</v>
      </c>
      <c r="Y1491" s="92" t="s">
        <v>70</v>
      </c>
      <c r="Z1491" s="90" t="s">
        <v>68</v>
      </c>
    </row>
    <row r="1492" spans="2:26" x14ac:dyDescent="0.3">
      <c r="B1492" s="50">
        <v>15095</v>
      </c>
      <c r="C1492" s="40"/>
      <c r="D1492" s="58"/>
      <c r="E1492" s="59">
        <f>ROUND((((B1492*F1492%)/4)/10),0)*10</f>
        <v>70</v>
      </c>
      <c r="F1492" s="51">
        <f>(100/B1492)*(F1501-F1510)</f>
        <v>1.9781384564425331</v>
      </c>
      <c r="G1492" s="17"/>
      <c r="H1492" s="93">
        <v>0.39166666666666666</v>
      </c>
      <c r="I1492" s="93">
        <v>0.39861111111111108</v>
      </c>
      <c r="J1492" s="93">
        <v>0.4055555555555555</v>
      </c>
      <c r="K1492" s="93">
        <v>0.41250000000000003</v>
      </c>
      <c r="L1492" s="17"/>
      <c r="N1492" s="17"/>
      <c r="P1492" s="16"/>
      <c r="Q1492" s="51">
        <f>R1492-(S1492-R1492)</f>
        <v>14620.05</v>
      </c>
      <c r="R1492" s="51">
        <v>14915.05</v>
      </c>
      <c r="S1492" s="51">
        <v>15210.05</v>
      </c>
      <c r="T1492" s="51">
        <f>S1492+(S1492-R1492)</f>
        <v>15505.05</v>
      </c>
      <c r="U1492" s="62"/>
      <c r="V1492" s="17"/>
      <c r="W1492" s="66">
        <v>0.41597222222222219</v>
      </c>
      <c r="X1492" s="7">
        <v>62.75</v>
      </c>
      <c r="Y1492" s="7">
        <v>86.1</v>
      </c>
      <c r="Z1492" s="66">
        <v>0.41597222222222219</v>
      </c>
    </row>
    <row r="1493" spans="2:26" x14ac:dyDescent="0.3">
      <c r="B1493" s="40"/>
      <c r="C1493" s="50">
        <f>AVERAGE(B1492,D1493)</f>
        <v>15060</v>
      </c>
      <c r="D1493" s="51">
        <f>B1492-E1492</f>
        <v>15025</v>
      </c>
      <c r="E1493" s="50">
        <f>AVERAGE(D1493,F1493)</f>
        <v>14990</v>
      </c>
      <c r="F1493" s="50">
        <f>D1493-E1492</f>
        <v>14955</v>
      </c>
      <c r="G1493" s="17"/>
      <c r="H1493" s="51">
        <v>15133.7</v>
      </c>
      <c r="I1493" s="51">
        <v>15128.2</v>
      </c>
      <c r="J1493" s="51">
        <v>15103.5</v>
      </c>
      <c r="K1493" s="51">
        <v>15086</v>
      </c>
      <c r="L1493" s="17"/>
      <c r="M1493" s="94">
        <f>ROUND((M1491/74000),0)*75</f>
        <v>150</v>
      </c>
      <c r="N1493" s="17"/>
      <c r="P1493" s="16"/>
      <c r="Q1493" s="17"/>
      <c r="R1493" s="17"/>
      <c r="S1493" s="17"/>
      <c r="T1493" s="16"/>
      <c r="U1493" s="16"/>
      <c r="V1493" s="17"/>
      <c r="W1493" s="66">
        <v>0.4368055555555555</v>
      </c>
      <c r="X1493" s="7">
        <v>58.8</v>
      </c>
      <c r="Y1493" s="7">
        <v>84.95</v>
      </c>
      <c r="Z1493" s="66">
        <v>0.4368055555555555</v>
      </c>
    </row>
    <row r="1494" spans="2:26" x14ac:dyDescent="0.3">
      <c r="B1494" s="17"/>
      <c r="C1494" s="17"/>
      <c r="D1494" s="17"/>
      <c r="E1494" s="17"/>
      <c r="F1494" s="16"/>
      <c r="G1494" s="16"/>
      <c r="H1494" s="17"/>
      <c r="I1494" s="17"/>
      <c r="J1494" s="17"/>
      <c r="K1494" s="16"/>
      <c r="L1494" s="17"/>
      <c r="M1494" s="17"/>
      <c r="N1494" s="17"/>
      <c r="P1494" s="16"/>
      <c r="Q1494" s="17"/>
      <c r="R1494" s="17"/>
      <c r="S1494" s="17"/>
      <c r="T1494" s="17"/>
      <c r="U1494" s="17"/>
      <c r="V1494" s="17"/>
      <c r="W1494" s="66">
        <v>0.45763888888888887</v>
      </c>
      <c r="X1494" s="7">
        <v>55.15</v>
      </c>
      <c r="Y1494" s="7">
        <v>84.65</v>
      </c>
      <c r="Z1494" s="66">
        <v>0.45763888888888887</v>
      </c>
    </row>
    <row r="1495" spans="2:26" x14ac:dyDescent="0.3">
      <c r="B1495" s="16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P1495" s="16"/>
      <c r="Q1495" s="17"/>
      <c r="R1495" s="17"/>
      <c r="S1495" s="17"/>
      <c r="T1495" s="17"/>
      <c r="U1495" s="17"/>
      <c r="V1495" s="17"/>
      <c r="W1495" s="66">
        <v>0.47847222222222219</v>
      </c>
      <c r="X1495" s="7">
        <v>55.75</v>
      </c>
      <c r="Y1495" s="7">
        <v>82.45</v>
      </c>
      <c r="Z1495" s="66">
        <v>0.47847222222222219</v>
      </c>
    </row>
    <row r="1496" spans="2:26" x14ac:dyDescent="0.3">
      <c r="B1496" s="17"/>
      <c r="C1496" s="95">
        <v>44264</v>
      </c>
      <c r="D1496" s="17"/>
      <c r="E1496" s="17"/>
      <c r="F1496" s="7">
        <f>AVERAGE(F1498,F1507)</f>
        <v>15092.625</v>
      </c>
      <c r="G1496" s="96"/>
      <c r="H1496" s="66">
        <v>0.51458333333333328</v>
      </c>
      <c r="I1496" s="66">
        <v>5.486111111111111E-2</v>
      </c>
      <c r="J1496" s="66">
        <v>0.11597222222222221</v>
      </c>
      <c r="K1496" s="66"/>
      <c r="L1496" s="66"/>
      <c r="M1496" s="66">
        <v>0.13541666666666666</v>
      </c>
      <c r="N1496" s="17"/>
      <c r="P1496" s="16"/>
      <c r="Q1496" s="17"/>
      <c r="R1496" s="17"/>
      <c r="S1496" s="17"/>
      <c r="T1496" s="17"/>
      <c r="U1496" s="17"/>
      <c r="V1496" s="17"/>
      <c r="W1496" s="66">
        <v>0.4993055555555555</v>
      </c>
      <c r="X1496" s="7">
        <v>54.15</v>
      </c>
      <c r="Y1496" s="7">
        <v>79.349999999999994</v>
      </c>
      <c r="Z1496" s="66">
        <v>0.4993055555555555</v>
      </c>
    </row>
    <row r="1497" spans="2:26" x14ac:dyDescent="0.3">
      <c r="B1497" s="90" t="s">
        <v>68</v>
      </c>
      <c r="C1497" s="66">
        <v>0.41666666666666669</v>
      </c>
      <c r="D1497" s="66">
        <v>0.41388888888888892</v>
      </c>
      <c r="E1497" s="17"/>
      <c r="F1497" s="17"/>
      <c r="G1497" s="17"/>
      <c r="H1497" s="7">
        <v>15053.8</v>
      </c>
      <c r="I1497" s="7">
        <v>14978</v>
      </c>
      <c r="J1497" s="7">
        <v>15064.8</v>
      </c>
      <c r="K1497" s="7"/>
      <c r="L1497" s="7"/>
      <c r="M1497" s="7">
        <v>15142.05</v>
      </c>
      <c r="N1497" s="17"/>
      <c r="P1497" s="16"/>
      <c r="Q1497" s="145" t="s">
        <v>72</v>
      </c>
      <c r="R1497" s="145"/>
      <c r="S1497" s="145"/>
      <c r="T1497" s="145"/>
      <c r="U1497" s="83"/>
      <c r="V1497" s="17"/>
      <c r="W1497" s="66">
        <v>0.52013888888888882</v>
      </c>
      <c r="X1497" s="7">
        <v>40.549999999999997</v>
      </c>
      <c r="Y1497" s="7">
        <v>102.9</v>
      </c>
      <c r="Z1497" s="66">
        <v>0.52013888888888882</v>
      </c>
    </row>
    <row r="1498" spans="2:26" x14ac:dyDescent="0.3">
      <c r="B1498" s="5">
        <f>B1499-50</f>
        <v>15050</v>
      </c>
      <c r="C1498" s="7">
        <v>112.1</v>
      </c>
      <c r="D1498" s="7">
        <v>103.5</v>
      </c>
      <c r="E1498" s="16"/>
      <c r="F1498" s="7">
        <f t="shared" ref="F1498:F1503" si="95">B1498+D1498</f>
        <v>15153.5</v>
      </c>
      <c r="G1498" s="17"/>
      <c r="H1498" s="7">
        <v>80.400000000000006</v>
      </c>
      <c r="I1498" s="7">
        <v>51.95</v>
      </c>
      <c r="J1498" s="7">
        <v>70.2</v>
      </c>
      <c r="K1498" s="7"/>
      <c r="L1498" s="7"/>
      <c r="M1498" s="7">
        <v>112.75</v>
      </c>
      <c r="N1498" s="17"/>
      <c r="P1498" s="16"/>
      <c r="Q1498" s="26"/>
      <c r="R1498" s="34" t="s">
        <v>2</v>
      </c>
      <c r="S1498" s="34" t="s">
        <v>111</v>
      </c>
      <c r="T1498" s="34" t="s">
        <v>1</v>
      </c>
      <c r="U1498" s="84"/>
      <c r="V1498" s="17"/>
      <c r="W1498" s="66">
        <v>0.54097222222222219</v>
      </c>
      <c r="X1498" s="7">
        <v>36.35</v>
      </c>
      <c r="Y1498" s="7">
        <v>101.25</v>
      </c>
      <c r="Z1498" s="66">
        <v>0.54097222222222219</v>
      </c>
    </row>
    <row r="1499" spans="2:26" x14ac:dyDescent="0.3">
      <c r="B1499" s="5">
        <f>B1500-50</f>
        <v>15100</v>
      </c>
      <c r="C1499" s="7">
        <v>85.1</v>
      </c>
      <c r="D1499" s="7">
        <v>77.8</v>
      </c>
      <c r="E1499" s="16"/>
      <c r="F1499" s="7">
        <f t="shared" si="95"/>
        <v>15177.8</v>
      </c>
      <c r="G1499" s="17"/>
      <c r="H1499" s="7">
        <v>57.8</v>
      </c>
      <c r="I1499" s="7">
        <v>36.85</v>
      </c>
      <c r="J1499" s="7">
        <v>48.85</v>
      </c>
      <c r="K1499" s="7"/>
      <c r="L1499" s="7"/>
      <c r="M1499" s="7">
        <v>81.7</v>
      </c>
      <c r="N1499" s="17"/>
      <c r="P1499" s="16"/>
      <c r="Q1499" s="7">
        <f>(T1499-R1499)*S1499</f>
        <v>0</v>
      </c>
      <c r="R1499" s="7"/>
      <c r="S1499" s="5"/>
      <c r="T1499" s="7"/>
      <c r="U1499" s="70"/>
      <c r="V1499" s="17"/>
      <c r="W1499" s="66">
        <v>6.1805555555555558E-2</v>
      </c>
      <c r="X1499" s="7">
        <v>27.15</v>
      </c>
      <c r="Y1499" s="7">
        <v>135.6</v>
      </c>
      <c r="Z1499" s="66">
        <v>6.1805555555555558E-2</v>
      </c>
    </row>
    <row r="1500" spans="2:26" x14ac:dyDescent="0.3">
      <c r="B1500" s="97">
        <v>15150</v>
      </c>
      <c r="C1500" s="7">
        <v>62.75</v>
      </c>
      <c r="D1500" s="7">
        <v>57.05</v>
      </c>
      <c r="E1500" s="16"/>
      <c r="F1500" s="7">
        <f t="shared" si="95"/>
        <v>15207.05</v>
      </c>
      <c r="G1500" s="17"/>
      <c r="H1500" s="7">
        <v>39.4</v>
      </c>
      <c r="I1500" s="7">
        <v>25</v>
      </c>
      <c r="J1500" s="7">
        <v>33.1</v>
      </c>
      <c r="K1500" s="7"/>
      <c r="L1500" s="7"/>
      <c r="M1500" s="7">
        <v>55.95</v>
      </c>
      <c r="N1500" s="17"/>
      <c r="P1500" s="16"/>
      <c r="Q1500" s="7">
        <f>(T1500-R1500)*S1500</f>
        <v>0</v>
      </c>
      <c r="R1500" s="7"/>
      <c r="S1500" s="5"/>
      <c r="T1500" s="7"/>
      <c r="U1500" s="70"/>
      <c r="V1500" s="17"/>
      <c r="W1500" s="66">
        <v>8.2638888888888887E-2</v>
      </c>
      <c r="X1500" s="7">
        <v>28.35</v>
      </c>
      <c r="Y1500" s="7">
        <v>104.45</v>
      </c>
      <c r="Z1500" s="66">
        <v>8.2638888888888887E-2</v>
      </c>
    </row>
    <row r="1501" spans="2:26" x14ac:dyDescent="0.3">
      <c r="B1501" s="5">
        <f>B1500+50</f>
        <v>15200</v>
      </c>
      <c r="C1501" s="51">
        <v>44.4</v>
      </c>
      <c r="D1501" s="23">
        <v>40</v>
      </c>
      <c r="E1501" s="16"/>
      <c r="F1501" s="98">
        <f t="shared" si="95"/>
        <v>15240</v>
      </c>
      <c r="G1501" s="16"/>
      <c r="H1501" s="7">
        <v>25.75</v>
      </c>
      <c r="I1501" s="7">
        <v>16.55</v>
      </c>
      <c r="J1501" s="7">
        <v>21.55</v>
      </c>
      <c r="K1501" s="7"/>
      <c r="L1501" s="7"/>
      <c r="M1501" s="7">
        <v>36.35</v>
      </c>
      <c r="N1501" s="17"/>
      <c r="P1501" s="16"/>
      <c r="Q1501" s="7">
        <f>(T1501-R1501)*S1501</f>
        <v>0</v>
      </c>
      <c r="R1501" s="7"/>
      <c r="S1501" s="5"/>
      <c r="T1501" s="7"/>
      <c r="U1501" s="70"/>
      <c r="V1501" s="17"/>
      <c r="W1501" s="17"/>
      <c r="X1501" s="17"/>
      <c r="Y1501" s="17"/>
      <c r="Z1501" s="17"/>
    </row>
    <row r="1502" spans="2:26" x14ac:dyDescent="0.3">
      <c r="B1502" s="99">
        <f>B1501+50</f>
        <v>15250</v>
      </c>
      <c r="C1502" s="7">
        <v>30.05</v>
      </c>
      <c r="D1502" s="7">
        <v>26.75</v>
      </c>
      <c r="E1502" s="16"/>
      <c r="F1502" s="7">
        <f t="shared" si="95"/>
        <v>15276.75</v>
      </c>
      <c r="G1502" s="16"/>
      <c r="H1502" s="7">
        <v>15.9</v>
      </c>
      <c r="I1502" s="7">
        <v>10.8</v>
      </c>
      <c r="J1502" s="7">
        <v>13.55</v>
      </c>
      <c r="K1502" s="7"/>
      <c r="L1502" s="7"/>
      <c r="M1502" s="7">
        <v>21.5</v>
      </c>
      <c r="N1502" s="17"/>
      <c r="P1502" s="16"/>
      <c r="Q1502" s="7">
        <f>(T1502-R1502)*S1502</f>
        <v>0</v>
      </c>
      <c r="R1502" s="7"/>
      <c r="S1502" s="5"/>
      <c r="T1502" s="7"/>
      <c r="U1502" s="70"/>
      <c r="V1502" s="17"/>
      <c r="W1502" s="90" t="s">
        <v>68</v>
      </c>
      <c r="X1502" s="91" t="s">
        <v>69</v>
      </c>
      <c r="Y1502" s="92" t="s">
        <v>70</v>
      </c>
      <c r="Z1502" s="90" t="s">
        <v>68</v>
      </c>
    </row>
    <row r="1503" spans="2:26" x14ac:dyDescent="0.3">
      <c r="B1503" s="5">
        <f>B1502+50</f>
        <v>15300</v>
      </c>
      <c r="C1503" s="7">
        <v>19.55</v>
      </c>
      <c r="D1503" s="7">
        <v>17.5</v>
      </c>
      <c r="E1503" s="16"/>
      <c r="F1503" s="7">
        <f t="shared" si="95"/>
        <v>15317.5</v>
      </c>
      <c r="G1503" s="17"/>
      <c r="H1503" s="7">
        <v>9.65</v>
      </c>
      <c r="I1503" s="7">
        <v>7.1</v>
      </c>
      <c r="J1503" s="7">
        <v>8.65</v>
      </c>
      <c r="K1503" s="7"/>
      <c r="L1503" s="7"/>
      <c r="M1503" s="7">
        <v>11.75</v>
      </c>
      <c r="N1503" s="17"/>
      <c r="P1503" s="16"/>
      <c r="Q1503" s="5" t="s">
        <v>112</v>
      </c>
      <c r="R1503" s="30">
        <f>SUM(Q1499:Q1502)</f>
        <v>0</v>
      </c>
      <c r="S1503" s="5">
        <f>SUM(S1499:S1502)</f>
        <v>0</v>
      </c>
      <c r="T1503" s="5" t="e">
        <f>(R1503/S1503)*2</f>
        <v>#DIV/0!</v>
      </c>
      <c r="U1503" s="100"/>
      <c r="V1503" s="17"/>
      <c r="W1503" s="66">
        <v>0.41597222222222219</v>
      </c>
      <c r="X1503" s="7">
        <v>44.4</v>
      </c>
      <c r="Y1503" s="7">
        <v>51.15</v>
      </c>
      <c r="Z1503" s="66">
        <v>0.41597222222222219</v>
      </c>
    </row>
    <row r="1504" spans="2:26" x14ac:dyDescent="0.3">
      <c r="B1504" s="17"/>
      <c r="C1504" s="17"/>
      <c r="D1504" s="16"/>
      <c r="E1504" s="16">
        <f>F1504-(G1504-F1504)</f>
        <v>44.150000000000006</v>
      </c>
      <c r="F1504" s="16">
        <f>AVERAGE(C1500,C1510)</f>
        <v>64.875</v>
      </c>
      <c r="G1504" s="16">
        <f>AVERAGE(C1499,C1509)</f>
        <v>85.6</v>
      </c>
      <c r="H1504" s="17"/>
      <c r="I1504" s="103">
        <f>I1500-I1503</f>
        <v>17.899999999999999</v>
      </c>
      <c r="J1504" s="17"/>
      <c r="K1504" s="76"/>
      <c r="L1504" s="17"/>
      <c r="M1504" s="103">
        <f>M1500-M1503</f>
        <v>44.2</v>
      </c>
      <c r="N1504" s="17"/>
      <c r="P1504" s="17"/>
      <c r="Q1504" s="17"/>
      <c r="R1504" s="17"/>
      <c r="S1504" s="17"/>
      <c r="T1504" s="17"/>
      <c r="U1504" s="17"/>
      <c r="V1504" s="16"/>
      <c r="W1504" s="66">
        <v>0.4368055555555555</v>
      </c>
      <c r="X1504" s="7">
        <v>40.85</v>
      </c>
      <c r="Y1504" s="7">
        <v>49.85</v>
      </c>
      <c r="Z1504" s="66">
        <v>0.4368055555555555</v>
      </c>
    </row>
    <row r="1505" spans="2:26" x14ac:dyDescent="0.3">
      <c r="B1505" s="17"/>
      <c r="C1505" s="95">
        <v>44265</v>
      </c>
      <c r="D1505" s="17"/>
      <c r="E1505" s="16">
        <f>E1504-(F1504-E1504)</f>
        <v>23.425000000000011</v>
      </c>
      <c r="F1505" s="16"/>
      <c r="G1505" s="16"/>
      <c r="H1505" s="66">
        <v>0.51458333333333328</v>
      </c>
      <c r="I1505" s="66">
        <v>5.486111111111111E-2</v>
      </c>
      <c r="J1505" s="66">
        <v>0.11597222222222221</v>
      </c>
      <c r="K1505" s="66"/>
      <c r="L1505" s="66"/>
      <c r="M1505" s="66">
        <v>0.13541666666666666</v>
      </c>
      <c r="P1505" s="17"/>
      <c r="Q1505" s="7">
        <f>(T1505-R1505)*S1505</f>
        <v>1822.4999999999998</v>
      </c>
      <c r="R1505" s="18">
        <v>61.3</v>
      </c>
      <c r="S1505" s="5">
        <v>75</v>
      </c>
      <c r="T1505" s="7">
        <v>85.6</v>
      </c>
      <c r="U1505" s="70"/>
      <c r="V1505" s="17"/>
      <c r="W1505" s="66">
        <v>0.45763888888888887</v>
      </c>
      <c r="X1505" s="7">
        <v>38.1</v>
      </c>
      <c r="Y1505" s="7">
        <v>50</v>
      </c>
      <c r="Z1505" s="66">
        <v>0.45763888888888887</v>
      </c>
    </row>
    <row r="1506" spans="2:26" x14ac:dyDescent="0.3">
      <c r="B1506" s="90" t="s">
        <v>68</v>
      </c>
      <c r="C1506" s="66">
        <v>0.41666666666666669</v>
      </c>
      <c r="D1506" s="66">
        <v>0.3923611111111111</v>
      </c>
      <c r="E1506" s="16">
        <f>F1506-(G1506-F1506)</f>
        <v>44.150000000000006</v>
      </c>
      <c r="F1506" s="16">
        <f>AVERAGE(C1510,C1500)</f>
        <v>64.875</v>
      </c>
      <c r="G1506" s="16">
        <f>AVERAGE(C1509,C1499)</f>
        <v>85.6</v>
      </c>
      <c r="H1506" s="23">
        <v>64.8</v>
      </c>
      <c r="I1506" s="23">
        <v>85.6</v>
      </c>
      <c r="J1506" s="23">
        <v>44.15</v>
      </c>
      <c r="K1506" s="7"/>
      <c r="L1506" s="7"/>
      <c r="M1506" s="7">
        <v>15142.05</v>
      </c>
      <c r="P1506" s="17"/>
      <c r="Q1506" s="7">
        <f>(T1506-R1506)*S1506</f>
        <v>-277.49999999999966</v>
      </c>
      <c r="R1506" s="18">
        <v>61.3</v>
      </c>
      <c r="S1506" s="5">
        <v>75</v>
      </c>
      <c r="T1506" s="7">
        <v>57.6</v>
      </c>
      <c r="U1506" s="70"/>
      <c r="V1506" s="17"/>
      <c r="W1506" s="66">
        <v>0.47847222222222219</v>
      </c>
      <c r="X1506" s="7">
        <v>38.35</v>
      </c>
      <c r="Y1506" s="7">
        <v>48.1</v>
      </c>
      <c r="Z1506" s="66">
        <v>0.47847222222222219</v>
      </c>
    </row>
    <row r="1507" spans="2:26" x14ac:dyDescent="0.3">
      <c r="B1507" s="5">
        <f>B1508+50</f>
        <v>15150</v>
      </c>
      <c r="C1507" s="7">
        <v>137.30000000000001</v>
      </c>
      <c r="D1507" s="7">
        <v>118.25</v>
      </c>
      <c r="E1507" s="16">
        <f>E1506-(F1506-E1506)</f>
        <v>23.425000000000011</v>
      </c>
      <c r="F1507" s="7">
        <f t="shared" ref="F1507:F1512" si="96">B1507-D1507</f>
        <v>15031.75</v>
      </c>
      <c r="G1507" s="16">
        <f>G1506+(G1506-F1506)</f>
        <v>106.32499999999999</v>
      </c>
      <c r="H1507" s="7">
        <v>163.25</v>
      </c>
      <c r="I1507" s="7">
        <v>221.8</v>
      </c>
      <c r="J1507" s="7">
        <v>145.5</v>
      </c>
      <c r="K1507" s="7"/>
      <c r="L1507" s="7"/>
      <c r="M1507" s="7">
        <v>91.4</v>
      </c>
      <c r="N1507" s="17"/>
      <c r="P1507" s="17"/>
      <c r="Q1507" s="7">
        <f t="shared" ref="Q1507:Q1508" si="97">(T1507-R1507)*S1507</f>
        <v>0</v>
      </c>
      <c r="R1507" s="18"/>
      <c r="S1507" s="99"/>
      <c r="T1507" s="18"/>
      <c r="U1507" s="101"/>
      <c r="V1507" s="16"/>
      <c r="W1507" s="66">
        <v>0.4993055555555555</v>
      </c>
      <c r="X1507" s="7">
        <v>36.450000000000003</v>
      </c>
      <c r="Y1507" s="7">
        <v>45.2</v>
      </c>
      <c r="Z1507" s="66">
        <v>0.4993055555555555</v>
      </c>
    </row>
    <row r="1508" spans="2:26" x14ac:dyDescent="0.3">
      <c r="B1508" s="5">
        <f>B1509+50</f>
        <v>15100</v>
      </c>
      <c r="C1508" s="7">
        <v>109.9</v>
      </c>
      <c r="D1508" s="7">
        <v>93.75</v>
      </c>
      <c r="E1508" s="16"/>
      <c r="F1508" s="7">
        <f t="shared" si="96"/>
        <v>15006.25</v>
      </c>
      <c r="G1508" s="17"/>
      <c r="H1508" s="7">
        <v>130.85</v>
      </c>
      <c r="I1508" s="7">
        <v>182.85</v>
      </c>
      <c r="J1508" s="7">
        <v>112.15</v>
      </c>
      <c r="K1508" s="7"/>
      <c r="L1508" s="7"/>
      <c r="M1508" s="7">
        <v>67</v>
      </c>
      <c r="N1508" s="17"/>
      <c r="P1508" s="17"/>
      <c r="Q1508" s="7">
        <f t="shared" si="97"/>
        <v>0</v>
      </c>
      <c r="R1508" s="18"/>
      <c r="S1508" s="99"/>
      <c r="T1508" s="18"/>
      <c r="U1508" s="101"/>
      <c r="V1508" s="16"/>
      <c r="W1508" s="66">
        <v>0.52013888888888882</v>
      </c>
      <c r="X1508" s="7">
        <v>26.7</v>
      </c>
      <c r="Y1508" s="7">
        <v>61.4</v>
      </c>
      <c r="Z1508" s="66">
        <v>0.52013888888888882</v>
      </c>
    </row>
    <row r="1509" spans="2:26" x14ac:dyDescent="0.3">
      <c r="B1509" s="97">
        <v>15050</v>
      </c>
      <c r="C1509" s="7">
        <v>86.1</v>
      </c>
      <c r="D1509" s="7">
        <v>74.349999999999994</v>
      </c>
      <c r="E1509" s="16"/>
      <c r="F1509" s="7">
        <f t="shared" si="96"/>
        <v>14975.65</v>
      </c>
      <c r="G1509" s="17"/>
      <c r="H1509" s="7">
        <v>103.6</v>
      </c>
      <c r="I1509" s="7">
        <v>148.25</v>
      </c>
      <c r="J1509" s="7">
        <v>84</v>
      </c>
      <c r="K1509" s="7"/>
      <c r="L1509" s="7"/>
      <c r="M1509" s="7">
        <v>48.25</v>
      </c>
      <c r="N1509" s="17"/>
      <c r="P1509" s="17"/>
      <c r="Q1509" s="5" t="s">
        <v>112</v>
      </c>
      <c r="R1509" s="30">
        <f>SUM(Q1505:Q1508)</f>
        <v>1545</v>
      </c>
      <c r="S1509" s="5">
        <f>SUM(S1505:S1508)</f>
        <v>150</v>
      </c>
      <c r="T1509" s="5">
        <f>(R1509/S1509)*2</f>
        <v>20.6</v>
      </c>
      <c r="U1509" s="100"/>
      <c r="V1509" s="17"/>
      <c r="W1509" s="66">
        <v>0.54097222222222219</v>
      </c>
      <c r="X1509" s="7">
        <v>24</v>
      </c>
      <c r="Y1509" s="7">
        <v>57.5</v>
      </c>
      <c r="Z1509" s="66">
        <v>0.54097222222222219</v>
      </c>
    </row>
    <row r="1510" spans="2:26" x14ac:dyDescent="0.3">
      <c r="B1510" s="14">
        <f>B1509-50</f>
        <v>15000</v>
      </c>
      <c r="C1510" s="7">
        <v>67</v>
      </c>
      <c r="D1510" s="23">
        <v>58.6</v>
      </c>
      <c r="E1510" s="16"/>
      <c r="F1510" s="98">
        <f t="shared" si="96"/>
        <v>14941.4</v>
      </c>
      <c r="G1510" s="17"/>
      <c r="H1510" s="7">
        <v>80.3</v>
      </c>
      <c r="I1510" s="7">
        <v>117.2</v>
      </c>
      <c r="J1510" s="7">
        <v>60.7</v>
      </c>
      <c r="K1510" s="7"/>
      <c r="L1510" s="7"/>
      <c r="M1510" s="7">
        <v>34.700000000000003</v>
      </c>
      <c r="N1510" s="17"/>
      <c r="P1510" s="17"/>
      <c r="Q1510" s="17"/>
      <c r="R1510" s="17"/>
      <c r="S1510" s="17"/>
      <c r="T1510" s="17"/>
      <c r="U1510" s="17"/>
      <c r="V1510" s="17"/>
      <c r="W1510" s="66">
        <v>6.1805555555555558E-2</v>
      </c>
      <c r="X1510" s="7">
        <v>18.45</v>
      </c>
      <c r="Y1510" s="7">
        <v>80.849999999999994</v>
      </c>
      <c r="Z1510" s="66">
        <v>6.1805555555555558E-2</v>
      </c>
    </row>
    <row r="1511" spans="2:26" x14ac:dyDescent="0.3">
      <c r="B1511" s="99">
        <f>B1510-50</f>
        <v>14950</v>
      </c>
      <c r="C1511" s="51">
        <v>51.15</v>
      </c>
      <c r="D1511" s="7">
        <v>45.55</v>
      </c>
      <c r="E1511" s="16"/>
      <c r="F1511" s="7">
        <f t="shared" si="96"/>
        <v>14904.45</v>
      </c>
      <c r="G1511" s="17"/>
      <c r="H1511" s="7">
        <v>61.3</v>
      </c>
      <c r="I1511" s="7">
        <v>90.95</v>
      </c>
      <c r="J1511" s="7">
        <v>43</v>
      </c>
      <c r="K1511" s="7"/>
      <c r="L1511" s="7"/>
      <c r="M1511" s="7">
        <v>24.25</v>
      </c>
      <c r="N1511" s="17"/>
      <c r="P1511" s="17"/>
      <c r="Q1511" s="17"/>
      <c r="R1511" s="17"/>
      <c r="S1511" s="17"/>
      <c r="T1511" s="17"/>
      <c r="U1511" s="17"/>
      <c r="V1511" s="17"/>
      <c r="W1511" s="66">
        <v>8.2638888888888887E-2</v>
      </c>
      <c r="X1511" s="7">
        <v>18.5</v>
      </c>
      <c r="Y1511" s="7">
        <v>57.4</v>
      </c>
      <c r="Z1511" s="66">
        <v>8.2638888888888887E-2</v>
      </c>
    </row>
    <row r="1512" spans="2:26" x14ac:dyDescent="0.3">
      <c r="B1512" s="5">
        <f>B1511-50</f>
        <v>14900</v>
      </c>
      <c r="C1512" s="7">
        <v>38.65</v>
      </c>
      <c r="D1512" s="7">
        <v>34.950000000000003</v>
      </c>
      <c r="E1512" s="16"/>
      <c r="F1512" s="7">
        <f t="shared" si="96"/>
        <v>14865.05</v>
      </c>
      <c r="G1512" s="17"/>
      <c r="H1512" s="7">
        <v>46.2</v>
      </c>
      <c r="I1512" s="7">
        <v>69.150000000000006</v>
      </c>
      <c r="J1512" s="7">
        <v>29.1</v>
      </c>
      <c r="K1512" s="7"/>
      <c r="L1512" s="7"/>
      <c r="M1512" s="7">
        <v>16.899999999999999</v>
      </c>
      <c r="N1512" s="17"/>
      <c r="P1512" s="98">
        <f>SUM(R1503,R1509)</f>
        <v>1545</v>
      </c>
      <c r="Q1512" s="92" t="s">
        <v>72</v>
      </c>
      <c r="R1512" s="17"/>
      <c r="S1512" s="92" t="s">
        <v>73</v>
      </c>
      <c r="T1512" s="7">
        <f>((X1504+Y1504)-(X1512+Y1512))</f>
        <v>-10.450000000000003</v>
      </c>
      <c r="U1512" s="7"/>
      <c r="V1512" s="98">
        <f>T1512*M1493</f>
        <v>-1567.5000000000005</v>
      </c>
      <c r="W1512" s="66">
        <v>0.13541666666666666</v>
      </c>
      <c r="X1512" s="7">
        <v>36.35</v>
      </c>
      <c r="Y1512" s="23">
        <v>64.8</v>
      </c>
      <c r="Z1512" s="66">
        <v>0.51458333333333328</v>
      </c>
    </row>
    <row r="1514" spans="2:26" x14ac:dyDescent="0.3">
      <c r="H1514" s="40"/>
      <c r="I1514" s="40"/>
      <c r="J1514" s="40"/>
      <c r="M1514" s="40"/>
    </row>
    <row r="1515" spans="2:26" x14ac:dyDescent="0.3">
      <c r="J1515" s="40"/>
    </row>
    <row r="1516" spans="2:26" x14ac:dyDescent="0.3">
      <c r="I1516" s="40"/>
      <c r="J1516" s="40"/>
      <c r="M1516" s="40"/>
    </row>
    <row r="1517" spans="2:26" x14ac:dyDescent="0.3">
      <c r="J1517" s="40"/>
    </row>
    <row r="1524" spans="2:26" x14ac:dyDescent="0.3">
      <c r="B1524" s="40"/>
      <c r="C1524" s="50">
        <f>AVERAGE(B1525,D1524)</f>
        <v>15268</v>
      </c>
      <c r="D1524" s="51">
        <f>B1525+E1525</f>
        <v>15333</v>
      </c>
      <c r="E1524" s="50">
        <f>AVERAGE(D1524,F1524)</f>
        <v>15398</v>
      </c>
      <c r="F1524" s="50">
        <f>D1524+E1525</f>
        <v>15463</v>
      </c>
      <c r="G1524" s="17"/>
      <c r="H1524" s="88" t="str">
        <f>IF((C1533-D1533)&gt;(C1542-D1542),"LONG",IF(C1542&gt;D1540,"LONG","SHORT"))</f>
        <v>SHORT</v>
      </c>
      <c r="I1524" s="146" t="s">
        <v>120</v>
      </c>
      <c r="J1524" s="147"/>
      <c r="K1524" s="148"/>
      <c r="L1524" s="17"/>
      <c r="N1524" s="17"/>
      <c r="Q1524" s="149" t="s">
        <v>71</v>
      </c>
      <c r="R1524" s="149"/>
      <c r="S1524" s="149" t="s">
        <v>37</v>
      </c>
      <c r="T1524" s="149"/>
      <c r="U1524" s="89"/>
      <c r="V1524" s="17"/>
      <c r="W1524" s="90" t="s">
        <v>68</v>
      </c>
      <c r="X1524" s="91" t="s">
        <v>69</v>
      </c>
      <c r="Y1524" s="92" t="s">
        <v>70</v>
      </c>
      <c r="Z1524" s="90" t="s">
        <v>68</v>
      </c>
    </row>
    <row r="1525" spans="2:26" x14ac:dyDescent="0.3">
      <c r="B1525" s="50">
        <v>15203</v>
      </c>
      <c r="C1525" s="40"/>
      <c r="D1525" s="58"/>
      <c r="E1525" s="59">
        <f>ROUND((((B1525*F1525%)/4)/10),0)*10</f>
        <v>130</v>
      </c>
      <c r="F1525" s="51">
        <f>(100/B1525)*(F1534-F1543)</f>
        <v>3.3009932250213798</v>
      </c>
      <c r="G1525" s="17"/>
      <c r="H1525" s="93">
        <v>0.39166666666666666</v>
      </c>
      <c r="I1525" s="93">
        <v>0.39861111111111108</v>
      </c>
      <c r="J1525" s="93">
        <v>0.4055555555555555</v>
      </c>
      <c r="K1525" s="93">
        <v>0.41250000000000003</v>
      </c>
      <c r="L1525" s="17"/>
      <c r="N1525" s="17"/>
      <c r="Q1525" s="51">
        <f>R1525-(S1525-R1525)</f>
        <v>14665.099999999999</v>
      </c>
      <c r="R1525" s="51">
        <v>14915.05</v>
      </c>
      <c r="S1525" s="51">
        <v>15165</v>
      </c>
      <c r="T1525" s="51">
        <f>S1525+(S1525-R1525)</f>
        <v>15414.95</v>
      </c>
      <c r="U1525" s="62"/>
      <c r="V1525" s="17"/>
      <c r="W1525" s="66">
        <v>0.41597222222222219</v>
      </c>
      <c r="X1525" s="7">
        <v>142.6</v>
      </c>
      <c r="Y1525" s="7">
        <v>139.19999999999999</v>
      </c>
      <c r="Z1525" s="66">
        <v>0.41597222222222219</v>
      </c>
    </row>
    <row r="1526" spans="2:26" x14ac:dyDescent="0.3">
      <c r="B1526" s="40"/>
      <c r="C1526" s="50">
        <f>AVERAGE(B1525,D1526)</f>
        <v>15138</v>
      </c>
      <c r="D1526" s="51">
        <f>B1525-E1525</f>
        <v>15073</v>
      </c>
      <c r="E1526" s="50">
        <f>AVERAGE(D1526,F1526)</f>
        <v>15008</v>
      </c>
      <c r="F1526" s="50">
        <f>D1526-E1525</f>
        <v>14943</v>
      </c>
      <c r="G1526" s="17"/>
      <c r="H1526" s="51">
        <v>15226</v>
      </c>
      <c r="I1526" s="51">
        <v>15195.9</v>
      </c>
      <c r="J1526" s="51">
        <v>15201.35</v>
      </c>
      <c r="K1526" s="51">
        <v>15205.8</v>
      </c>
      <c r="L1526" s="17"/>
      <c r="N1526" s="17"/>
      <c r="Q1526" s="17"/>
      <c r="R1526" s="17"/>
      <c r="S1526" s="17"/>
      <c r="T1526" s="16"/>
      <c r="U1526" s="16"/>
      <c r="V1526" s="17"/>
      <c r="W1526" s="66">
        <v>0.4368055555555555</v>
      </c>
      <c r="X1526" s="7">
        <v>140.80000000000001</v>
      </c>
      <c r="Y1526" s="7">
        <v>139.69999999999999</v>
      </c>
      <c r="Z1526" s="66">
        <v>0.4368055555555555</v>
      </c>
    </row>
    <row r="1527" spans="2:26" x14ac:dyDescent="0.3">
      <c r="B1527" s="17"/>
      <c r="C1527" s="17"/>
      <c r="D1527" s="17"/>
      <c r="E1527" s="17"/>
      <c r="F1527" s="16"/>
      <c r="G1527" s="16"/>
      <c r="H1527" s="17"/>
      <c r="I1527" s="17"/>
      <c r="J1527" s="17"/>
      <c r="K1527" s="16"/>
      <c r="L1527" s="17"/>
      <c r="M1527" s="17"/>
      <c r="N1527" s="17"/>
      <c r="P1527" s="17"/>
      <c r="Q1527" s="17"/>
      <c r="R1527" s="17"/>
      <c r="S1527" s="17"/>
      <c r="T1527" s="17"/>
      <c r="U1527" s="17"/>
      <c r="V1527" s="17"/>
      <c r="W1527" s="66">
        <v>0.45763888888888887</v>
      </c>
      <c r="X1527" s="7">
        <v>131.4</v>
      </c>
      <c r="Y1527" s="7">
        <v>154.1</v>
      </c>
      <c r="Z1527" s="66">
        <v>0.45763888888888887</v>
      </c>
    </row>
    <row r="1528" spans="2:26" x14ac:dyDescent="0.3">
      <c r="B1528" s="16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P1528" s="16"/>
      <c r="Q1528" s="17"/>
      <c r="R1528" s="17"/>
      <c r="S1528" s="17"/>
      <c r="T1528" s="17"/>
      <c r="U1528" s="17"/>
      <c r="V1528" s="17"/>
      <c r="W1528" s="66">
        <v>0.47847222222222219</v>
      </c>
      <c r="X1528" s="7">
        <v>131.55000000000001</v>
      </c>
      <c r="Y1528" s="7">
        <v>150.75</v>
      </c>
      <c r="Z1528" s="66">
        <v>0.47847222222222219</v>
      </c>
    </row>
    <row r="1529" spans="2:26" x14ac:dyDescent="0.3">
      <c r="B1529" s="17"/>
      <c r="C1529" s="95">
        <v>44265</v>
      </c>
      <c r="D1529" s="17"/>
      <c r="E1529" s="17"/>
      <c r="F1529" s="7">
        <f>AVERAGE(F1531,F1540)</f>
        <v>15199.875</v>
      </c>
      <c r="G1529" s="96"/>
      <c r="H1529" s="66">
        <v>0.4465277777777778</v>
      </c>
      <c r="I1529" s="66"/>
      <c r="J1529" s="66"/>
      <c r="K1529" s="66"/>
      <c r="L1529" s="66">
        <v>7.6388888888888895E-2</v>
      </c>
      <c r="M1529" s="66">
        <v>0.13541666666666666</v>
      </c>
      <c r="N1529" s="17"/>
      <c r="P1529" s="16"/>
      <c r="Q1529" s="17"/>
      <c r="R1529" s="17"/>
      <c r="S1529" s="17"/>
      <c r="T1529" s="17"/>
      <c r="U1529" s="17"/>
      <c r="V1529" s="17"/>
      <c r="W1529" s="66">
        <v>0.4993055555555555</v>
      </c>
      <c r="X1529" s="7">
        <v>129.6</v>
      </c>
      <c r="Y1529" s="7">
        <v>153</v>
      </c>
      <c r="Z1529" s="66">
        <v>0.4993055555555555</v>
      </c>
    </row>
    <row r="1530" spans="2:26" x14ac:dyDescent="0.3">
      <c r="B1530" s="90" t="s">
        <v>68</v>
      </c>
      <c r="C1530" s="66">
        <v>0.41666666666666669</v>
      </c>
      <c r="D1530" s="66">
        <v>0.39861111111111108</v>
      </c>
      <c r="E1530" s="17"/>
      <c r="F1530" s="17"/>
      <c r="G1530" s="17"/>
      <c r="H1530" s="7">
        <v>15175.2</v>
      </c>
      <c r="I1530" s="7"/>
      <c r="J1530" s="7"/>
      <c r="K1530" s="7"/>
      <c r="L1530" s="7">
        <v>15196.5</v>
      </c>
      <c r="M1530" s="7">
        <v>15221.9</v>
      </c>
      <c r="N1530" s="17"/>
      <c r="P1530" s="17"/>
      <c r="Q1530" s="145" t="s">
        <v>72</v>
      </c>
      <c r="R1530" s="145"/>
      <c r="S1530" s="145"/>
      <c r="T1530" s="145"/>
      <c r="U1530" s="83"/>
      <c r="V1530" s="17"/>
      <c r="W1530" s="66">
        <v>0.52013888888888882</v>
      </c>
      <c r="X1530" s="7">
        <v>127.05</v>
      </c>
      <c r="Y1530" s="7">
        <v>161.25</v>
      </c>
      <c r="Z1530" s="66">
        <v>0.52013888888888882</v>
      </c>
    </row>
    <row r="1531" spans="2:26" x14ac:dyDescent="0.3">
      <c r="B1531" s="5">
        <f>B1532-50</f>
        <v>15200</v>
      </c>
      <c r="C1531" s="7">
        <v>168.25</v>
      </c>
      <c r="D1531" s="7">
        <v>162.55000000000001</v>
      </c>
      <c r="E1531" s="16"/>
      <c r="F1531" s="7">
        <f t="shared" ref="F1531:F1536" si="98">B1531+D1531</f>
        <v>15362.55</v>
      </c>
      <c r="G1531" s="17"/>
      <c r="H1531" s="7">
        <v>155.9</v>
      </c>
      <c r="I1531" s="7"/>
      <c r="J1531" s="7"/>
      <c r="K1531" s="7"/>
      <c r="L1531" s="7">
        <v>157.35</v>
      </c>
      <c r="M1531" s="7">
        <v>168</v>
      </c>
      <c r="N1531" s="17"/>
      <c r="P1531" s="17"/>
      <c r="Q1531" s="26"/>
      <c r="R1531" s="34" t="s">
        <v>2</v>
      </c>
      <c r="S1531" s="34" t="s">
        <v>111</v>
      </c>
      <c r="T1531" s="34" t="s">
        <v>1</v>
      </c>
      <c r="U1531" s="84"/>
      <c r="V1531" s="17"/>
      <c r="W1531" s="66">
        <v>0.54097222222222219</v>
      </c>
      <c r="X1531" s="7">
        <v>134.1</v>
      </c>
      <c r="Y1531" s="7">
        <v>146.80000000000001</v>
      </c>
      <c r="Z1531" s="66">
        <v>0.54097222222222219</v>
      </c>
    </row>
    <row r="1532" spans="2:26" x14ac:dyDescent="0.3">
      <c r="B1532" s="5">
        <f>B1533-50</f>
        <v>15250</v>
      </c>
      <c r="C1532" s="7">
        <v>142.6</v>
      </c>
      <c r="D1532" s="7">
        <v>136.5</v>
      </c>
      <c r="E1532" s="16"/>
      <c r="F1532" s="7">
        <f t="shared" si="98"/>
        <v>15386.5</v>
      </c>
      <c r="G1532" s="17"/>
      <c r="H1532" s="7">
        <v>131.94999999999999</v>
      </c>
      <c r="I1532" s="7"/>
      <c r="J1532" s="7"/>
      <c r="K1532" s="7"/>
      <c r="L1532" s="7">
        <v>133</v>
      </c>
      <c r="M1532" s="7">
        <v>141.94999999999999</v>
      </c>
      <c r="N1532" s="17"/>
      <c r="P1532" s="17"/>
      <c r="Q1532" s="7">
        <f>(T1532-R1532)*S1532</f>
        <v>0</v>
      </c>
      <c r="R1532" s="7"/>
      <c r="S1532" s="5"/>
      <c r="T1532" s="7"/>
      <c r="U1532" s="70"/>
      <c r="V1532" s="17"/>
      <c r="W1532" s="66">
        <v>6.1805555555555558E-2</v>
      </c>
      <c r="X1532" s="7">
        <v>131.65</v>
      </c>
      <c r="Y1532" s="7">
        <v>143</v>
      </c>
      <c r="Z1532" s="66">
        <v>6.1805555555555558E-2</v>
      </c>
    </row>
    <row r="1533" spans="2:26" x14ac:dyDescent="0.3">
      <c r="B1533" s="97">
        <v>15300</v>
      </c>
      <c r="C1533" s="7">
        <v>119.95</v>
      </c>
      <c r="D1533" s="7">
        <v>115</v>
      </c>
      <c r="E1533" s="16"/>
      <c r="F1533" s="7">
        <f t="shared" si="98"/>
        <v>15415</v>
      </c>
      <c r="G1533" s="17"/>
      <c r="H1533" s="7">
        <v>110.7</v>
      </c>
      <c r="I1533" s="7"/>
      <c r="J1533" s="7"/>
      <c r="K1533" s="7"/>
      <c r="L1533" s="7">
        <v>109.9</v>
      </c>
      <c r="M1533" s="7">
        <v>119</v>
      </c>
      <c r="N1533" s="17"/>
      <c r="P1533" s="17"/>
      <c r="Q1533" s="7">
        <f>(T1533-R1533)*S1533</f>
        <v>0</v>
      </c>
      <c r="R1533" s="7"/>
      <c r="S1533" s="5"/>
      <c r="T1533" s="7"/>
      <c r="U1533" s="70"/>
      <c r="V1533" s="17"/>
      <c r="W1533" s="66">
        <v>8.2638888888888887E-2</v>
      </c>
      <c r="X1533" s="7">
        <v>128</v>
      </c>
      <c r="Y1533" s="7">
        <v>138.44999999999999</v>
      </c>
      <c r="Z1533" s="66">
        <v>8.2638888888888887E-2</v>
      </c>
    </row>
    <row r="1534" spans="2:26" x14ac:dyDescent="0.3">
      <c r="B1534" s="5">
        <f>B1533+50</f>
        <v>15350</v>
      </c>
      <c r="C1534" s="7">
        <v>98.9</v>
      </c>
      <c r="D1534" s="23">
        <v>95.15</v>
      </c>
      <c r="E1534" s="16"/>
      <c r="F1534" s="98">
        <f t="shared" si="98"/>
        <v>15445.15</v>
      </c>
      <c r="G1534" s="17"/>
      <c r="H1534" s="7">
        <v>91.35</v>
      </c>
      <c r="I1534" s="7"/>
      <c r="J1534" s="7"/>
      <c r="K1534" s="7"/>
      <c r="L1534" s="7">
        <v>90.3</v>
      </c>
      <c r="M1534" s="7">
        <v>97.65</v>
      </c>
      <c r="N1534" s="17"/>
      <c r="P1534" s="17"/>
      <c r="Q1534" s="7">
        <f>(T1534-R1534)*S1534</f>
        <v>0</v>
      </c>
      <c r="R1534" s="7"/>
      <c r="S1534" s="5"/>
      <c r="T1534" s="7"/>
      <c r="U1534" s="70"/>
      <c r="V1534" s="17"/>
      <c r="W1534" s="17"/>
      <c r="X1534" s="17"/>
      <c r="Y1534" s="17"/>
      <c r="Z1534" s="17"/>
    </row>
    <row r="1535" spans="2:26" x14ac:dyDescent="0.3">
      <c r="B1535" s="99">
        <f>B1534+50</f>
        <v>15400</v>
      </c>
      <c r="C1535" s="51">
        <v>80.75</v>
      </c>
      <c r="D1535" s="7">
        <v>76.849999999999994</v>
      </c>
      <c r="E1535" s="16"/>
      <c r="F1535" s="7">
        <f t="shared" si="98"/>
        <v>15476.85</v>
      </c>
      <c r="G1535" s="17"/>
      <c r="H1535" s="7">
        <v>74.55</v>
      </c>
      <c r="I1535" s="7"/>
      <c r="J1535" s="7"/>
      <c r="K1535" s="7"/>
      <c r="L1535" s="7">
        <v>72.45</v>
      </c>
      <c r="M1535" s="7">
        <v>79.05</v>
      </c>
      <c r="N1535" s="17"/>
      <c r="P1535" s="17"/>
      <c r="Q1535" s="7">
        <f>(T1535-R1535)*S1535</f>
        <v>0</v>
      </c>
      <c r="R1535" s="7"/>
      <c r="S1535" s="5"/>
      <c r="T1535" s="7"/>
      <c r="U1535" s="70"/>
      <c r="V1535" s="17"/>
      <c r="W1535" s="90" t="s">
        <v>68</v>
      </c>
      <c r="X1535" s="91" t="s">
        <v>69</v>
      </c>
      <c r="Y1535" s="92" t="s">
        <v>70</v>
      </c>
      <c r="Z1535" s="90" t="s">
        <v>68</v>
      </c>
    </row>
    <row r="1536" spans="2:26" x14ac:dyDescent="0.3">
      <c r="B1536" s="5">
        <f>B1535+50</f>
        <v>15450</v>
      </c>
      <c r="C1536" s="7">
        <v>65</v>
      </c>
      <c r="D1536" s="7">
        <v>62</v>
      </c>
      <c r="E1536" s="16"/>
      <c r="F1536" s="7">
        <f t="shared" si="98"/>
        <v>15512</v>
      </c>
      <c r="G1536" s="17"/>
      <c r="H1536" s="7">
        <v>59.95</v>
      </c>
      <c r="I1536" s="7"/>
      <c r="J1536" s="7"/>
      <c r="K1536" s="7"/>
      <c r="L1536" s="7">
        <v>58.5</v>
      </c>
      <c r="M1536" s="7">
        <v>63.7</v>
      </c>
      <c r="N1536" s="17"/>
      <c r="P1536" s="17"/>
      <c r="Q1536" s="5" t="s">
        <v>112</v>
      </c>
      <c r="R1536" s="30">
        <f>SUM(Q1532:Q1535)</f>
        <v>0</v>
      </c>
      <c r="S1536" s="5">
        <f>SUM(S1532:S1535)</f>
        <v>0</v>
      </c>
      <c r="T1536" s="5" t="e">
        <f>(R1536/S1536)*2</f>
        <v>#DIV/0!</v>
      </c>
      <c r="U1536" s="100"/>
      <c r="V1536" s="17"/>
      <c r="W1536" s="66">
        <v>0.41597222222222219</v>
      </c>
      <c r="X1536" s="7">
        <v>80.75</v>
      </c>
      <c r="Y1536" s="7">
        <v>90.6</v>
      </c>
      <c r="Z1536" s="66">
        <v>0.41597222222222219</v>
      </c>
    </row>
    <row r="1537" spans="2:26" x14ac:dyDescent="0.3">
      <c r="B1537" s="17"/>
      <c r="C1537" s="17"/>
      <c r="D1537" s="16"/>
      <c r="E1537" s="16">
        <f>F1537-(G1537-F1537)</f>
        <v>77.349999999999994</v>
      </c>
      <c r="F1537" s="16">
        <f>AVERAGE(C1534,C1545)</f>
        <v>94.75</v>
      </c>
      <c r="G1537" s="16">
        <f>AVERAGE(C1533,C1544)</f>
        <v>112.15</v>
      </c>
      <c r="H1537" s="17"/>
      <c r="I1537" s="81"/>
      <c r="J1537" s="17"/>
      <c r="K1537" s="76"/>
      <c r="L1537" s="17"/>
      <c r="M1537" s="17"/>
      <c r="N1537" s="17"/>
      <c r="P1537" s="17"/>
      <c r="Q1537" s="17"/>
      <c r="R1537" s="17"/>
      <c r="S1537" s="17"/>
      <c r="T1537" s="17"/>
      <c r="U1537" s="17"/>
      <c r="V1537" s="16"/>
      <c r="W1537" s="66">
        <v>0.4368055555555555</v>
      </c>
      <c r="X1537" s="7">
        <v>79.55</v>
      </c>
      <c r="Y1537" s="7">
        <v>91.4</v>
      </c>
      <c r="Z1537" s="66">
        <v>0.4368055555555555</v>
      </c>
    </row>
    <row r="1538" spans="2:26" x14ac:dyDescent="0.3">
      <c r="B1538" s="17"/>
      <c r="C1538" s="95">
        <v>44273</v>
      </c>
      <c r="D1538" s="17"/>
      <c r="E1538" s="16">
        <f>E1537-(F1537-E1537)</f>
        <v>59.949999999999989</v>
      </c>
      <c r="F1538" s="16"/>
      <c r="G1538" s="16">
        <f>G1537+(G1537-F1537)</f>
        <v>129.55000000000001</v>
      </c>
      <c r="H1538" s="66">
        <v>0.4465277777777778</v>
      </c>
      <c r="I1538" s="66"/>
      <c r="J1538" s="66"/>
      <c r="K1538" s="66"/>
      <c r="L1538" s="66">
        <v>7.6388888888888895E-2</v>
      </c>
      <c r="M1538" s="66">
        <v>0.13541666666666666</v>
      </c>
      <c r="P1538" s="17"/>
      <c r="Q1538" s="7">
        <f>(T1538-R1538)*S1538</f>
        <v>-1560.0000000000009</v>
      </c>
      <c r="R1538" s="18">
        <v>101.4</v>
      </c>
      <c r="S1538" s="5">
        <v>75</v>
      </c>
      <c r="T1538" s="7">
        <v>80.599999999999994</v>
      </c>
      <c r="U1538" s="70"/>
      <c r="V1538" s="17"/>
      <c r="W1538" s="66">
        <v>0.45763888888888887</v>
      </c>
      <c r="X1538" s="7">
        <v>73.2</v>
      </c>
      <c r="Y1538" s="7">
        <v>102</v>
      </c>
      <c r="Z1538" s="66">
        <v>0.45763888888888887</v>
      </c>
    </row>
    <row r="1539" spans="2:26" x14ac:dyDescent="0.3">
      <c r="B1539" s="90" t="s">
        <v>68</v>
      </c>
      <c r="C1539" s="66">
        <v>0.41666666666666669</v>
      </c>
      <c r="D1539" s="66">
        <v>0.3888888888888889</v>
      </c>
      <c r="E1539" s="16">
        <f>F1539-(G1539-F1539)</f>
        <v>82.525000000000006</v>
      </c>
      <c r="F1539" s="16">
        <f>AVERAGE(C1544,C1534)</f>
        <v>101.625</v>
      </c>
      <c r="G1539" s="16">
        <f>AVERAGE(C1543,C1533)</f>
        <v>120.72499999999999</v>
      </c>
      <c r="H1539" s="23">
        <v>101.6</v>
      </c>
      <c r="I1539" s="23"/>
      <c r="J1539" s="7"/>
      <c r="K1539" s="7"/>
      <c r="L1539" s="23">
        <v>133.19999999999999</v>
      </c>
      <c r="M1539" s="7">
        <v>15221.9</v>
      </c>
      <c r="P1539" s="17"/>
      <c r="Q1539" s="7">
        <f>(T1539-R1539)*S1539</f>
        <v>-1560.0000000000009</v>
      </c>
      <c r="R1539" s="18">
        <v>101.4</v>
      </c>
      <c r="S1539" s="5">
        <v>75</v>
      </c>
      <c r="T1539" s="7">
        <v>80.599999999999994</v>
      </c>
      <c r="U1539" s="70"/>
      <c r="V1539" s="17"/>
      <c r="W1539" s="66">
        <v>0.47847222222222219</v>
      </c>
      <c r="X1539" s="7">
        <v>73.25</v>
      </c>
      <c r="Y1539" s="7">
        <v>98.35</v>
      </c>
      <c r="Z1539" s="66">
        <v>0.47847222222222219</v>
      </c>
    </row>
    <row r="1540" spans="2:26" x14ac:dyDescent="0.3">
      <c r="B1540" s="5">
        <f>B1541+50</f>
        <v>15200</v>
      </c>
      <c r="C1540" s="7">
        <v>181.6</v>
      </c>
      <c r="D1540" s="7">
        <v>162.80000000000001</v>
      </c>
      <c r="E1540" s="16">
        <f>E1539-(F1539-E1539)</f>
        <v>63.425000000000011</v>
      </c>
      <c r="F1540" s="7">
        <f t="shared" ref="F1540:F1545" si="99">B1540-D1540</f>
        <v>15037.2</v>
      </c>
      <c r="G1540" s="16">
        <f>G1539+(G1539-F1539)</f>
        <v>139.82499999999999</v>
      </c>
      <c r="H1540" s="7">
        <v>199.5</v>
      </c>
      <c r="I1540" s="7"/>
      <c r="J1540" s="7"/>
      <c r="K1540" s="7"/>
      <c r="L1540" s="7">
        <v>176.4</v>
      </c>
      <c r="M1540" s="7">
        <v>160.44999999999999</v>
      </c>
      <c r="N1540" s="17"/>
      <c r="P1540" s="17"/>
      <c r="Q1540" s="7">
        <f t="shared" ref="Q1540:Q1541" si="100">(T1540-R1540)*S1540</f>
        <v>0</v>
      </c>
      <c r="R1540" s="18"/>
      <c r="S1540" s="99"/>
      <c r="T1540" s="18"/>
      <c r="U1540" s="101"/>
      <c r="V1540" s="16"/>
      <c r="W1540" s="66">
        <v>0.4993055555555555</v>
      </c>
      <c r="X1540" s="7">
        <v>73.55</v>
      </c>
      <c r="Y1540" s="7">
        <v>99.95</v>
      </c>
      <c r="Z1540" s="66">
        <v>0.4993055555555555</v>
      </c>
    </row>
    <row r="1541" spans="2:26" x14ac:dyDescent="0.3">
      <c r="B1541" s="5">
        <f>B1542+50</f>
        <v>15150</v>
      </c>
      <c r="C1541" s="7">
        <v>160.1</v>
      </c>
      <c r="D1541" s="7">
        <v>141.65</v>
      </c>
      <c r="E1541" s="16"/>
      <c r="F1541" s="7">
        <f t="shared" si="99"/>
        <v>15008.35</v>
      </c>
      <c r="G1541" s="17"/>
      <c r="H1541" s="7">
        <v>176.45</v>
      </c>
      <c r="I1541" s="7"/>
      <c r="J1541" s="7"/>
      <c r="K1541" s="7"/>
      <c r="L1541" s="7">
        <v>154.25</v>
      </c>
      <c r="M1541" s="7">
        <v>139.5</v>
      </c>
      <c r="N1541" s="17"/>
      <c r="P1541" s="17"/>
      <c r="Q1541" s="7">
        <f t="shared" si="100"/>
        <v>0</v>
      </c>
      <c r="R1541" s="18"/>
      <c r="S1541" s="99"/>
      <c r="T1541" s="18"/>
      <c r="U1541" s="101"/>
      <c r="V1541" s="16"/>
      <c r="W1541" s="66">
        <v>0.52013888888888882</v>
      </c>
      <c r="X1541" s="7">
        <v>71.75</v>
      </c>
      <c r="Y1541" s="7">
        <v>105.75</v>
      </c>
      <c r="Z1541" s="66">
        <v>0.52013888888888882</v>
      </c>
    </row>
    <row r="1542" spans="2:26" x14ac:dyDescent="0.3">
      <c r="B1542" s="97">
        <v>15100</v>
      </c>
      <c r="C1542" s="7">
        <v>139.19999999999999</v>
      </c>
      <c r="D1542" s="7">
        <v>123.35</v>
      </c>
      <c r="E1542" s="16"/>
      <c r="F1542" s="7">
        <f t="shared" si="99"/>
        <v>14976.65</v>
      </c>
      <c r="G1542" s="17"/>
      <c r="H1542" s="7">
        <v>154.30000000000001</v>
      </c>
      <c r="I1542" s="7"/>
      <c r="J1542" s="7"/>
      <c r="K1542" s="7"/>
      <c r="L1542" s="7">
        <v>132.6</v>
      </c>
      <c r="M1542" s="7">
        <v>119.65</v>
      </c>
      <c r="N1542" s="17"/>
      <c r="P1542" s="17"/>
      <c r="Q1542" s="5" t="s">
        <v>112</v>
      </c>
      <c r="R1542" s="30">
        <f>SUM(Q1538:Q1541)</f>
        <v>-3120.0000000000018</v>
      </c>
      <c r="S1542" s="5">
        <f>SUM(S1538:S1541)</f>
        <v>150</v>
      </c>
      <c r="T1542" s="5">
        <f>(R1542/S1542)*2</f>
        <v>-41.600000000000023</v>
      </c>
      <c r="U1542" s="100"/>
      <c r="V1542" s="17"/>
      <c r="W1542" s="66">
        <v>0.54097222222222219</v>
      </c>
      <c r="X1542" s="7">
        <v>75.55</v>
      </c>
      <c r="Y1542" s="7">
        <v>95.8</v>
      </c>
      <c r="Z1542" s="66">
        <v>0.54097222222222219</v>
      </c>
    </row>
    <row r="1543" spans="2:26" x14ac:dyDescent="0.3">
      <c r="B1543" s="14">
        <f>B1542-50</f>
        <v>15050</v>
      </c>
      <c r="C1543" s="7">
        <v>121.5</v>
      </c>
      <c r="D1543" s="7">
        <v>106.7</v>
      </c>
      <c r="E1543" s="16"/>
      <c r="F1543" s="98">
        <f t="shared" si="99"/>
        <v>14943.3</v>
      </c>
      <c r="G1543" s="17"/>
      <c r="H1543" s="7">
        <v>134.44999999999999</v>
      </c>
      <c r="I1543" s="7"/>
      <c r="J1543" s="7"/>
      <c r="K1543" s="7"/>
      <c r="L1543" s="7">
        <v>115.45</v>
      </c>
      <c r="M1543" s="7">
        <v>103.65</v>
      </c>
      <c r="N1543" s="17"/>
      <c r="P1543" s="17"/>
      <c r="Q1543" s="17"/>
      <c r="R1543" s="17"/>
      <c r="S1543" s="17"/>
      <c r="T1543" s="17"/>
      <c r="U1543" s="17"/>
      <c r="V1543" s="17"/>
      <c r="W1543" s="66">
        <v>6.1805555555555558E-2</v>
      </c>
      <c r="X1543" s="7">
        <v>73.400000000000006</v>
      </c>
      <c r="Y1543" s="7">
        <v>92.3</v>
      </c>
      <c r="Z1543" s="66">
        <v>6.1805555555555558E-2</v>
      </c>
    </row>
    <row r="1544" spans="2:26" x14ac:dyDescent="0.3">
      <c r="B1544" s="99">
        <f>B1543-50</f>
        <v>15000</v>
      </c>
      <c r="C1544" s="7">
        <v>104.35</v>
      </c>
      <c r="D1544" s="7">
        <v>91.6</v>
      </c>
      <c r="E1544" s="16"/>
      <c r="F1544" s="7">
        <f t="shared" si="99"/>
        <v>14908.4</v>
      </c>
      <c r="G1544" s="17"/>
      <c r="H1544" s="7">
        <v>116.8</v>
      </c>
      <c r="I1544" s="7"/>
      <c r="J1544" s="7"/>
      <c r="K1544" s="7"/>
      <c r="L1544" s="7">
        <v>98.55</v>
      </c>
      <c r="M1544" s="7">
        <v>87.75</v>
      </c>
      <c r="N1544" s="17"/>
      <c r="P1544" s="17"/>
      <c r="Q1544" s="17"/>
      <c r="R1544" s="17"/>
      <c r="S1544" s="17"/>
      <c r="T1544" s="17"/>
      <c r="U1544" s="17"/>
      <c r="V1544" s="17"/>
      <c r="W1544" s="66">
        <v>8.2638888888888887E-2</v>
      </c>
      <c r="X1544" s="7">
        <v>70</v>
      </c>
      <c r="Y1544" s="7">
        <v>87.55</v>
      </c>
      <c r="Z1544" s="66">
        <v>8.2638888888888887E-2</v>
      </c>
    </row>
    <row r="1545" spans="2:26" x14ac:dyDescent="0.3">
      <c r="B1545" s="5">
        <f>B1544-50</f>
        <v>14950</v>
      </c>
      <c r="C1545" s="51">
        <v>90.6</v>
      </c>
      <c r="D1545" s="7">
        <v>79.05</v>
      </c>
      <c r="E1545" s="16"/>
      <c r="F1545" s="7">
        <f t="shared" si="99"/>
        <v>14870.95</v>
      </c>
      <c r="G1545" s="17"/>
      <c r="H1545" s="7">
        <v>101.4</v>
      </c>
      <c r="I1545" s="7"/>
      <c r="J1545" s="7"/>
      <c r="K1545" s="7"/>
      <c r="L1545" s="7">
        <v>84.4</v>
      </c>
      <c r="M1545" s="7">
        <v>75.3</v>
      </c>
      <c r="N1545" s="17"/>
      <c r="P1545" s="98">
        <f>SUM(R1536,R1542)</f>
        <v>-3120.0000000000018</v>
      </c>
      <c r="Q1545" s="92" t="s">
        <v>72</v>
      </c>
      <c r="R1545" s="17"/>
      <c r="S1545" s="92" t="s">
        <v>73</v>
      </c>
      <c r="T1545" s="7">
        <f>((X1537+Y1537)-(X1545+Y1545))</f>
        <v>-11.400000000000006</v>
      </c>
      <c r="U1545" s="7"/>
      <c r="V1545" s="98">
        <f>T1545*300</f>
        <v>-3420.0000000000018</v>
      </c>
      <c r="W1545" s="66">
        <v>9.375E-2</v>
      </c>
      <c r="X1545" s="7">
        <v>80.75</v>
      </c>
      <c r="Y1545" s="23">
        <v>101.6</v>
      </c>
      <c r="Z1545" s="66">
        <v>0.4465277777777778</v>
      </c>
    </row>
    <row r="1547" spans="2:26" x14ac:dyDescent="0.3">
      <c r="C1547" s="40"/>
      <c r="D1547" s="40"/>
      <c r="E1547" s="40"/>
      <c r="H1547" s="101"/>
    </row>
    <row r="1548" spans="2:26" x14ac:dyDescent="0.3">
      <c r="H1548" s="40"/>
      <c r="I1548" s="40"/>
      <c r="J1548" s="40"/>
      <c r="K1548" s="40"/>
    </row>
    <row r="1549" spans="2:26" x14ac:dyDescent="0.3">
      <c r="E1549" s="40"/>
      <c r="H1549" s="40"/>
      <c r="I1549" s="40"/>
      <c r="J1549" s="40"/>
    </row>
    <row r="1550" spans="2:26" x14ac:dyDescent="0.3">
      <c r="E1550" s="40"/>
      <c r="H1550" s="40"/>
      <c r="J1550" s="40"/>
    </row>
    <row r="1557" spans="2:26" x14ac:dyDescent="0.3">
      <c r="B1557" s="40"/>
      <c r="C1557" s="50">
        <f>AVERAGE(B1558,D1557)</f>
        <v>15390.05</v>
      </c>
      <c r="D1557" s="51">
        <f>B1558+E1558</f>
        <v>15445.05</v>
      </c>
      <c r="E1557" s="50">
        <f>AVERAGE(D1557,F1557)</f>
        <v>15500.05</v>
      </c>
      <c r="F1557" s="50">
        <f>D1557+E1558</f>
        <v>15555.05</v>
      </c>
      <c r="G1557" s="17"/>
      <c r="H1557" s="88" t="str">
        <f>IF((C1566-D1566)&gt;(C1575-D1575),"LONG",IF(C1575&gt;D1573,"LONG","SHORT"))</f>
        <v>SHORT</v>
      </c>
      <c r="I1557" s="146" t="s">
        <v>121</v>
      </c>
      <c r="J1557" s="147"/>
      <c r="K1557" s="148"/>
      <c r="L1557" s="17"/>
      <c r="M1557" s="94">
        <f>(163000)/4</f>
        <v>40750</v>
      </c>
      <c r="N1557" s="17"/>
      <c r="P1557" s="16"/>
      <c r="Q1557" s="149" t="s">
        <v>71</v>
      </c>
      <c r="R1557" s="149"/>
      <c r="S1557" s="149" t="s">
        <v>37</v>
      </c>
      <c r="T1557" s="149"/>
      <c r="U1557" s="89"/>
      <c r="V1557" s="17"/>
      <c r="W1557" s="90" t="s">
        <v>68</v>
      </c>
      <c r="X1557" s="91" t="s">
        <v>69</v>
      </c>
      <c r="Y1557" s="92" t="s">
        <v>70</v>
      </c>
      <c r="Z1557" s="90" t="s">
        <v>68</v>
      </c>
    </row>
    <row r="1558" spans="2:26" x14ac:dyDescent="0.3">
      <c r="B1558" s="50">
        <v>15335.05</v>
      </c>
      <c r="C1558" s="40"/>
      <c r="D1558" s="58"/>
      <c r="E1558" s="59">
        <f>ROUND((((B1558*F1558%)/4)/10),0)*10</f>
        <v>110</v>
      </c>
      <c r="F1558" s="51">
        <f>(100/B1558)*(F1567-F1576)</f>
        <v>2.792296079895408</v>
      </c>
      <c r="G1558" s="17"/>
      <c r="H1558" s="93">
        <v>0.39166666666666666</v>
      </c>
      <c r="I1558" s="93">
        <v>0.39861111111111108</v>
      </c>
      <c r="J1558" s="93">
        <v>0.4055555555555555</v>
      </c>
      <c r="K1558" s="93">
        <v>0.41250000000000003</v>
      </c>
      <c r="L1558" s="17"/>
      <c r="N1558" s="17"/>
      <c r="P1558" s="16"/>
      <c r="Q1558" s="51">
        <f>R1558-(S1558-R1558)</f>
        <v>14665.099999999999</v>
      </c>
      <c r="R1558" s="51">
        <v>14915.05</v>
      </c>
      <c r="S1558" s="51">
        <v>15165</v>
      </c>
      <c r="T1558" s="51">
        <f>S1558+(S1558-R1558)</f>
        <v>15414.95</v>
      </c>
      <c r="U1558" s="62"/>
      <c r="V1558" s="17"/>
      <c r="W1558" s="66">
        <v>0.41597222222222219</v>
      </c>
      <c r="X1558" s="7">
        <v>131.4</v>
      </c>
      <c r="Y1558" s="7">
        <v>144.6</v>
      </c>
      <c r="Z1558" s="66">
        <v>0.41597222222222219</v>
      </c>
    </row>
    <row r="1559" spans="2:26" x14ac:dyDescent="0.3">
      <c r="B1559" s="40"/>
      <c r="C1559" s="50">
        <f>AVERAGE(B1558,D1559)</f>
        <v>15280.05</v>
      </c>
      <c r="D1559" s="51">
        <f>B1558-E1558</f>
        <v>15225.05</v>
      </c>
      <c r="E1559" s="50">
        <f>AVERAGE(D1559,F1559)</f>
        <v>15170.05</v>
      </c>
      <c r="F1559" s="50">
        <f>D1559-E1558</f>
        <v>15115.05</v>
      </c>
      <c r="G1559" s="17"/>
      <c r="H1559" s="51">
        <v>15340.25</v>
      </c>
      <c r="I1559" s="51">
        <v>15327.25</v>
      </c>
      <c r="J1559" s="51">
        <v>15335.9</v>
      </c>
      <c r="K1559" s="51">
        <v>15321.6</v>
      </c>
      <c r="L1559" s="17"/>
      <c r="M1559" s="94">
        <f>ROUND((M1557/91)/225,0)*75</f>
        <v>150</v>
      </c>
      <c r="N1559" s="17"/>
      <c r="P1559" s="16"/>
      <c r="Q1559" s="17"/>
      <c r="R1559" s="17"/>
      <c r="S1559" s="17"/>
      <c r="T1559" s="16"/>
      <c r="U1559" s="16"/>
      <c r="V1559" s="17"/>
      <c r="W1559" s="66">
        <v>0.4368055555555555</v>
      </c>
      <c r="X1559" s="7">
        <v>119.5</v>
      </c>
      <c r="Y1559" s="7">
        <v>160</v>
      </c>
      <c r="Z1559" s="66">
        <v>0.4368055555555555</v>
      </c>
    </row>
    <row r="1560" spans="2:26" x14ac:dyDescent="0.3">
      <c r="B1560" s="17"/>
      <c r="C1560" s="17"/>
      <c r="D1560" s="17"/>
      <c r="E1560" s="17"/>
      <c r="F1560" s="16"/>
      <c r="G1560" s="16"/>
      <c r="H1560" s="17"/>
      <c r="I1560" s="17"/>
      <c r="J1560" s="17"/>
      <c r="K1560" s="16"/>
      <c r="L1560" s="17"/>
      <c r="M1560" s="17"/>
      <c r="N1560" s="17"/>
      <c r="P1560" s="16"/>
      <c r="Q1560" s="17"/>
      <c r="R1560" s="17"/>
      <c r="S1560" s="17"/>
      <c r="T1560" s="17"/>
      <c r="U1560" s="17"/>
      <c r="V1560" s="17"/>
      <c r="W1560" s="66">
        <v>0.45763888888888887</v>
      </c>
      <c r="X1560" s="7">
        <v>119.65</v>
      </c>
      <c r="Y1560" s="7">
        <v>154.85</v>
      </c>
      <c r="Z1560" s="66">
        <v>0.45763888888888887</v>
      </c>
    </row>
    <row r="1561" spans="2:26" x14ac:dyDescent="0.3">
      <c r="B1561" s="16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P1561" s="16"/>
      <c r="Q1561" s="17"/>
      <c r="R1561" s="17"/>
      <c r="S1561" s="17"/>
      <c r="T1561" s="17"/>
      <c r="U1561" s="17"/>
      <c r="V1561" s="17"/>
      <c r="W1561" s="66">
        <v>0.47847222222222219</v>
      </c>
      <c r="X1561" s="7">
        <v>116.05</v>
      </c>
      <c r="Y1561" s="7">
        <v>156.44999999999999</v>
      </c>
      <c r="Z1561" s="66">
        <v>0.47847222222222219</v>
      </c>
    </row>
    <row r="1562" spans="2:26" x14ac:dyDescent="0.3">
      <c r="B1562" s="17"/>
      <c r="C1562" s="95">
        <v>44267</v>
      </c>
      <c r="D1562" s="17"/>
      <c r="E1562" s="17"/>
      <c r="F1562" s="7">
        <f>AVERAGE(F1564,F1573)</f>
        <v>15320.424999999999</v>
      </c>
      <c r="G1562" s="96"/>
      <c r="H1562" s="66">
        <v>0.43263888888888885</v>
      </c>
      <c r="I1562" s="66">
        <v>0.51527777777777783</v>
      </c>
      <c r="J1562" s="66">
        <v>6.9444444444444434E-2</v>
      </c>
      <c r="K1562" s="66"/>
      <c r="L1562" s="66"/>
      <c r="M1562" s="66">
        <v>0.13541666666666666</v>
      </c>
      <c r="N1562" s="17"/>
      <c r="P1562" s="16"/>
      <c r="Q1562" s="17"/>
      <c r="R1562" s="17"/>
      <c r="S1562" s="17"/>
      <c r="T1562" s="17"/>
      <c r="U1562" s="17"/>
      <c r="V1562" s="17"/>
      <c r="W1562" s="66">
        <v>0.4993055555555555</v>
      </c>
      <c r="X1562" s="7">
        <v>118.9</v>
      </c>
      <c r="Y1562" s="7">
        <v>151.30000000000001</v>
      </c>
      <c r="Z1562" s="66">
        <v>0.4993055555555555</v>
      </c>
    </row>
    <row r="1563" spans="2:26" x14ac:dyDescent="0.3">
      <c r="B1563" s="90" t="s">
        <v>68</v>
      </c>
      <c r="C1563" s="66">
        <v>0.41666666666666669</v>
      </c>
      <c r="D1563" s="66">
        <v>0.40902777777777777</v>
      </c>
      <c r="E1563" s="17"/>
      <c r="F1563" s="17"/>
      <c r="G1563" s="17"/>
      <c r="H1563" s="7">
        <v>15316</v>
      </c>
      <c r="I1563" s="23">
        <v>46.65</v>
      </c>
      <c r="J1563" s="23">
        <v>36.25</v>
      </c>
      <c r="K1563" s="23"/>
      <c r="L1563" s="7"/>
      <c r="M1563" s="7">
        <v>15047.7</v>
      </c>
      <c r="N1563" s="17"/>
      <c r="P1563" s="17"/>
      <c r="Q1563" s="145" t="s">
        <v>72</v>
      </c>
      <c r="R1563" s="145"/>
      <c r="S1563" s="145"/>
      <c r="T1563" s="145"/>
      <c r="U1563" s="83"/>
      <c r="V1563" s="17"/>
      <c r="W1563" s="66">
        <v>0.52013888888888882</v>
      </c>
      <c r="X1563" s="7">
        <v>103.2</v>
      </c>
      <c r="Y1563" s="7">
        <v>172.8</v>
      </c>
      <c r="Z1563" s="66">
        <v>0.52013888888888882</v>
      </c>
    </row>
    <row r="1564" spans="2:26" x14ac:dyDescent="0.3">
      <c r="B1564" s="5">
        <f>B1565-50</f>
        <v>15300</v>
      </c>
      <c r="C1564" s="7">
        <v>157.94999999999999</v>
      </c>
      <c r="D1564" s="7">
        <v>149.85</v>
      </c>
      <c r="E1564" s="16"/>
      <c r="F1564" s="7">
        <f t="shared" ref="F1564:F1569" si="101">B1564+D1564</f>
        <v>15449.85</v>
      </c>
      <c r="G1564" s="17"/>
      <c r="H1564" s="7">
        <v>147.30000000000001</v>
      </c>
      <c r="I1564" s="7">
        <v>125.45</v>
      </c>
      <c r="J1564" s="7">
        <v>89.95</v>
      </c>
      <c r="K1564" s="7"/>
      <c r="L1564" s="7"/>
      <c r="M1564" s="7">
        <v>59.9</v>
      </c>
      <c r="N1564" s="17"/>
      <c r="P1564" s="17"/>
      <c r="Q1564" s="26"/>
      <c r="R1564" s="34" t="s">
        <v>2</v>
      </c>
      <c r="S1564" s="34" t="s">
        <v>111</v>
      </c>
      <c r="T1564" s="34" t="s">
        <v>1</v>
      </c>
      <c r="U1564" s="84"/>
      <c r="V1564" s="17"/>
      <c r="W1564" s="66">
        <v>0.54097222222222219</v>
      </c>
      <c r="X1564" s="7">
        <v>96.55</v>
      </c>
      <c r="Y1564" s="7">
        <v>194.5</v>
      </c>
      <c r="Z1564" s="66">
        <v>0.54097222222222219</v>
      </c>
    </row>
    <row r="1565" spans="2:26" x14ac:dyDescent="0.3">
      <c r="B1565" s="5">
        <f>B1566-50</f>
        <v>15350</v>
      </c>
      <c r="C1565" s="7">
        <v>131.4</v>
      </c>
      <c r="D1565" s="7">
        <v>124.5</v>
      </c>
      <c r="E1565" s="16"/>
      <c r="F1565" s="7">
        <f t="shared" si="101"/>
        <v>15474.5</v>
      </c>
      <c r="G1565" s="17"/>
      <c r="H1565" s="7">
        <v>122.55</v>
      </c>
      <c r="I1565" s="7">
        <v>102.65</v>
      </c>
      <c r="J1565" s="7">
        <v>72.8</v>
      </c>
      <c r="K1565" s="7"/>
      <c r="L1565" s="7"/>
      <c r="M1565" s="7">
        <v>48</v>
      </c>
      <c r="N1565" s="17"/>
      <c r="P1565" s="17"/>
      <c r="Q1565" s="7">
        <f>(T1565-R1565)*S1565</f>
        <v>0</v>
      </c>
      <c r="R1565" s="7"/>
      <c r="S1565" s="5"/>
      <c r="T1565" s="7"/>
      <c r="U1565" s="70"/>
      <c r="V1565" s="17"/>
      <c r="W1565" s="66">
        <v>6.1805555555555558E-2</v>
      </c>
      <c r="X1565" s="7">
        <v>88.75</v>
      </c>
      <c r="Y1565" s="7">
        <v>205.75</v>
      </c>
      <c r="Z1565" s="66">
        <v>6.1805555555555558E-2</v>
      </c>
    </row>
    <row r="1566" spans="2:26" x14ac:dyDescent="0.3">
      <c r="B1566" s="97">
        <v>15400</v>
      </c>
      <c r="C1566" s="7">
        <v>107.3</v>
      </c>
      <c r="D1566" s="7">
        <v>101.1</v>
      </c>
      <c r="E1566" s="16"/>
      <c r="F1566" s="7">
        <f t="shared" si="101"/>
        <v>15501.1</v>
      </c>
      <c r="G1566" s="17"/>
      <c r="H1566" s="7">
        <v>98.45</v>
      </c>
      <c r="I1566" s="7">
        <v>81.8</v>
      </c>
      <c r="J1566" s="7">
        <v>57.75</v>
      </c>
      <c r="K1566" s="7"/>
      <c r="L1566" s="7"/>
      <c r="M1566" s="7">
        <v>37.15</v>
      </c>
      <c r="N1566" s="17"/>
      <c r="P1566" s="17"/>
      <c r="Q1566" s="7">
        <f>(T1566-R1566)*S1566</f>
        <v>0</v>
      </c>
      <c r="R1566" s="7"/>
      <c r="S1566" s="5"/>
      <c r="T1566" s="7"/>
      <c r="U1566" s="70"/>
      <c r="V1566" s="17"/>
      <c r="W1566" s="66">
        <v>8.2638888888888887E-2</v>
      </c>
      <c r="X1566" s="7">
        <v>71.400000000000006</v>
      </c>
      <c r="Y1566" s="7">
        <v>285.05</v>
      </c>
      <c r="Z1566" s="66">
        <v>8.2638888888888887E-2</v>
      </c>
    </row>
    <row r="1567" spans="2:26" x14ac:dyDescent="0.3">
      <c r="B1567" s="5">
        <f>B1566+50</f>
        <v>15450</v>
      </c>
      <c r="C1567" s="7">
        <v>85.4</v>
      </c>
      <c r="D1567" s="23">
        <v>80.5</v>
      </c>
      <c r="E1567" s="16"/>
      <c r="F1567" s="98">
        <f t="shared" si="101"/>
        <v>15530.5</v>
      </c>
      <c r="G1567" s="17"/>
      <c r="H1567" s="7">
        <v>79.05</v>
      </c>
      <c r="I1567" s="7">
        <v>63.65</v>
      </c>
      <c r="J1567" s="7">
        <v>45.4</v>
      </c>
      <c r="K1567" s="7"/>
      <c r="L1567" s="7"/>
      <c r="M1567" s="7">
        <v>28.5</v>
      </c>
      <c r="N1567" s="17"/>
      <c r="P1567" s="17"/>
      <c r="Q1567" s="7">
        <f>(T1567-R1567)*S1567</f>
        <v>0</v>
      </c>
      <c r="R1567" s="7"/>
      <c r="S1567" s="5"/>
      <c r="T1567" s="7"/>
      <c r="U1567" s="70"/>
      <c r="V1567" s="17"/>
      <c r="W1567" s="17"/>
      <c r="X1567" s="17"/>
      <c r="Y1567" s="17"/>
      <c r="Z1567" s="17"/>
    </row>
    <row r="1568" spans="2:26" x14ac:dyDescent="0.3">
      <c r="B1568" s="99">
        <f>B1567+50</f>
        <v>15500</v>
      </c>
      <c r="C1568" s="51">
        <v>66.900000000000006</v>
      </c>
      <c r="D1568" s="7">
        <v>62.85</v>
      </c>
      <c r="E1568" s="16"/>
      <c r="F1568" s="7">
        <f t="shared" si="101"/>
        <v>15562.85</v>
      </c>
      <c r="G1568" s="17"/>
      <c r="H1568" s="7">
        <v>61</v>
      </c>
      <c r="I1568" s="7">
        <v>48.6</v>
      </c>
      <c r="J1568" s="7">
        <v>35.1</v>
      </c>
      <c r="K1568" s="7"/>
      <c r="L1568" s="7"/>
      <c r="M1568" s="7">
        <v>22.4</v>
      </c>
      <c r="N1568" s="17"/>
      <c r="P1568" s="17"/>
      <c r="Q1568" s="7">
        <f>(T1568-R1568)*S1568</f>
        <v>0</v>
      </c>
      <c r="R1568" s="7"/>
      <c r="S1568" s="5"/>
      <c r="T1568" s="7"/>
      <c r="U1568" s="70"/>
      <c r="V1568" s="17"/>
      <c r="W1568" s="90" t="s">
        <v>68</v>
      </c>
      <c r="X1568" s="91" t="s">
        <v>69</v>
      </c>
      <c r="Y1568" s="92" t="s">
        <v>70</v>
      </c>
      <c r="Z1568" s="90" t="s">
        <v>68</v>
      </c>
    </row>
    <row r="1569" spans="2:26" x14ac:dyDescent="0.3">
      <c r="B1569" s="5">
        <f>B1568+50</f>
        <v>15550</v>
      </c>
      <c r="C1569" s="7">
        <v>50.95</v>
      </c>
      <c r="D1569" s="7">
        <v>47.9</v>
      </c>
      <c r="E1569" s="16">
        <f>E1570-(F1570-E1570)</f>
        <v>49.8</v>
      </c>
      <c r="F1569" s="7">
        <f t="shared" si="101"/>
        <v>15597.9</v>
      </c>
      <c r="G1569" s="16">
        <f>G1570+(G1570-F1570)</f>
        <v>125.60000000000001</v>
      </c>
      <c r="H1569" s="7">
        <v>46.65</v>
      </c>
      <c r="I1569" s="7">
        <v>36.25</v>
      </c>
      <c r="J1569" s="7">
        <v>27</v>
      </c>
      <c r="K1569" s="7"/>
      <c r="L1569" s="7"/>
      <c r="M1569" s="7">
        <v>16.899999999999999</v>
      </c>
      <c r="N1569" s="17"/>
      <c r="P1569" s="17"/>
      <c r="Q1569" s="5" t="s">
        <v>112</v>
      </c>
      <c r="R1569" s="30">
        <f>SUM(Q1565:Q1568)</f>
        <v>0</v>
      </c>
      <c r="S1569" s="5">
        <f>SUM(S1565:S1568)</f>
        <v>0</v>
      </c>
      <c r="T1569" s="5" t="e">
        <f>(R1569/S1569)*2</f>
        <v>#DIV/0!</v>
      </c>
      <c r="U1569" s="100"/>
      <c r="V1569" s="17"/>
      <c r="W1569" s="66">
        <v>0.41597222222222219</v>
      </c>
      <c r="X1569" s="7">
        <v>66.900000000000006</v>
      </c>
      <c r="Y1569" s="7">
        <v>90</v>
      </c>
      <c r="Z1569" s="66">
        <v>0.41597222222222219</v>
      </c>
    </row>
    <row r="1570" spans="2:26" x14ac:dyDescent="0.3">
      <c r="B1570" s="17"/>
      <c r="C1570" s="17"/>
      <c r="D1570" s="16"/>
      <c r="E1570" s="16">
        <f>F1570-(G1570-F1570)</f>
        <v>68.75</v>
      </c>
      <c r="F1570" s="16">
        <f>AVERAGE(C1567,C1577)</f>
        <v>87.7</v>
      </c>
      <c r="G1570" s="16">
        <f>AVERAGE(C1566,C1576)</f>
        <v>106.65</v>
      </c>
      <c r="H1570" s="17"/>
      <c r="I1570" s="81"/>
      <c r="J1570" s="76"/>
      <c r="K1570" s="76"/>
      <c r="L1570" s="17"/>
      <c r="M1570" s="17"/>
      <c r="N1570" s="17"/>
      <c r="P1570" s="17"/>
      <c r="Q1570" s="17"/>
      <c r="R1570" s="17"/>
      <c r="S1570" s="17"/>
      <c r="T1570" s="17"/>
      <c r="U1570" s="17"/>
      <c r="V1570" s="16"/>
      <c r="W1570" s="66">
        <v>0.4368055555555555</v>
      </c>
      <c r="X1570" s="7">
        <v>59.3</v>
      </c>
      <c r="Y1570" s="7">
        <v>101.2</v>
      </c>
      <c r="Z1570" s="66">
        <v>0.4368055555555555</v>
      </c>
    </row>
    <row r="1571" spans="2:26" x14ac:dyDescent="0.3">
      <c r="B1571" s="17"/>
      <c r="C1571" s="95">
        <v>44273</v>
      </c>
      <c r="D1571" s="17"/>
      <c r="F1571" s="16"/>
      <c r="H1571" s="66">
        <v>0.43263888888888885</v>
      </c>
      <c r="I1571" s="66">
        <v>0.51527777777777783</v>
      </c>
      <c r="J1571" s="66">
        <v>6.9444444444444434E-2</v>
      </c>
      <c r="K1571" s="66"/>
      <c r="L1571" s="66"/>
      <c r="M1571" s="66">
        <v>0.13541666666666666</v>
      </c>
      <c r="P1571" s="17"/>
      <c r="Q1571" s="7">
        <f>(T1571-R1571)*S1571</f>
        <v>1500</v>
      </c>
      <c r="R1571" s="18">
        <v>95.6</v>
      </c>
      <c r="S1571" s="5">
        <v>75</v>
      </c>
      <c r="T1571" s="7">
        <v>115.6</v>
      </c>
      <c r="U1571" s="70"/>
      <c r="V1571" s="17"/>
      <c r="W1571" s="66">
        <v>0.45763888888888887</v>
      </c>
      <c r="X1571" s="7">
        <v>59.05</v>
      </c>
      <c r="Y1571" s="7">
        <v>96.85</v>
      </c>
      <c r="Z1571" s="66">
        <v>0.45763888888888887</v>
      </c>
    </row>
    <row r="1572" spans="2:26" x14ac:dyDescent="0.3">
      <c r="B1572" s="90" t="s">
        <v>68</v>
      </c>
      <c r="C1572" s="66">
        <v>0.41666666666666669</v>
      </c>
      <c r="D1572" s="66">
        <v>0.3888888888888889</v>
      </c>
      <c r="E1572" s="16">
        <f>F1572-(G1572-F1572)</f>
        <v>75.725000000000009</v>
      </c>
      <c r="F1572" s="16">
        <f>AVERAGE(C1576,C1567)</f>
        <v>95.7</v>
      </c>
      <c r="G1572" s="16">
        <f>AVERAGE(C1575,C1566)</f>
        <v>115.675</v>
      </c>
      <c r="H1572" s="23">
        <v>95.7</v>
      </c>
      <c r="I1572" s="7">
        <v>15270</v>
      </c>
      <c r="J1572" s="7">
        <v>15137.35</v>
      </c>
      <c r="K1572" s="7"/>
      <c r="L1572" s="7"/>
      <c r="M1572" s="7">
        <v>15047.7</v>
      </c>
      <c r="P1572" s="17"/>
      <c r="Q1572" s="7">
        <f>(T1572-R1572)*S1572</f>
        <v>6600</v>
      </c>
      <c r="R1572" s="18">
        <v>95.6</v>
      </c>
      <c r="S1572" s="5">
        <v>75</v>
      </c>
      <c r="T1572" s="7">
        <v>183.6</v>
      </c>
      <c r="U1572" s="70"/>
      <c r="V1572" s="17"/>
      <c r="W1572" s="66">
        <v>0.47847222222222219</v>
      </c>
      <c r="X1572" s="7">
        <v>56.7</v>
      </c>
      <c r="Y1572" s="7">
        <v>98</v>
      </c>
      <c r="Z1572" s="66">
        <v>0.47847222222222219</v>
      </c>
    </row>
    <row r="1573" spans="2:26" x14ac:dyDescent="0.3">
      <c r="B1573" s="5">
        <f>B1574+50</f>
        <v>15350</v>
      </c>
      <c r="C1573" s="7">
        <v>168.25</v>
      </c>
      <c r="D1573" s="7">
        <v>159</v>
      </c>
      <c r="E1573" s="16">
        <f>E1572-(F1572-E1572)</f>
        <v>55.750000000000014</v>
      </c>
      <c r="F1573" s="7">
        <f t="shared" ref="F1573:F1578" si="102">B1573-D1573</f>
        <v>15191</v>
      </c>
      <c r="G1573" s="16">
        <f>G1572+(G1572-F1572)</f>
        <v>135.64999999999998</v>
      </c>
      <c r="H1573" s="7">
        <v>177.85</v>
      </c>
      <c r="I1573" s="7">
        <v>198.6</v>
      </c>
      <c r="J1573" s="7">
        <v>302.7</v>
      </c>
      <c r="K1573" s="7"/>
      <c r="L1573" s="7"/>
      <c r="M1573" s="7">
        <v>361.85</v>
      </c>
      <c r="N1573" s="17"/>
      <c r="P1573" s="17"/>
      <c r="Q1573" s="7">
        <f t="shared" ref="Q1573:Q1574" si="103">(T1573-R1573)*S1573</f>
        <v>0</v>
      </c>
      <c r="R1573" s="18"/>
      <c r="S1573" s="99"/>
      <c r="T1573" s="18"/>
      <c r="U1573" s="101"/>
      <c r="V1573" s="16"/>
      <c r="W1573" s="66">
        <v>0.4993055555555555</v>
      </c>
      <c r="X1573" s="7">
        <v>59</v>
      </c>
      <c r="Y1573" s="7">
        <v>93.95</v>
      </c>
      <c r="Z1573" s="66">
        <v>0.4993055555555555</v>
      </c>
    </row>
    <row r="1574" spans="2:26" x14ac:dyDescent="0.3">
      <c r="B1574" s="5">
        <f>B1575+50</f>
        <v>15300</v>
      </c>
      <c r="C1574" s="7">
        <v>144.6</v>
      </c>
      <c r="D1574" s="7">
        <v>136</v>
      </c>
      <c r="E1574" s="16"/>
      <c r="F1574" s="7">
        <f t="shared" si="102"/>
        <v>15164</v>
      </c>
      <c r="G1574" s="17"/>
      <c r="H1574" s="7">
        <v>153</v>
      </c>
      <c r="I1574" s="7">
        <v>172</v>
      </c>
      <c r="J1574" s="7">
        <v>270.3</v>
      </c>
      <c r="K1574" s="7"/>
      <c r="L1574" s="7"/>
      <c r="M1574" s="7">
        <v>324.10000000000002</v>
      </c>
      <c r="N1574" s="17"/>
      <c r="P1574" s="17"/>
      <c r="Q1574" s="7">
        <f t="shared" si="103"/>
        <v>0</v>
      </c>
      <c r="R1574" s="18"/>
      <c r="S1574" s="99"/>
      <c r="T1574" s="18"/>
      <c r="U1574" s="101"/>
      <c r="V1574" s="16"/>
      <c r="W1574" s="66">
        <v>0.52013888888888882</v>
      </c>
      <c r="X1574" s="7">
        <v>49.25</v>
      </c>
      <c r="Y1574" s="7">
        <v>107.4</v>
      </c>
      <c r="Z1574" s="66">
        <v>0.52013888888888882</v>
      </c>
    </row>
    <row r="1575" spans="2:26" x14ac:dyDescent="0.3">
      <c r="B1575" s="97">
        <v>15250</v>
      </c>
      <c r="C1575" s="7">
        <v>124.05</v>
      </c>
      <c r="D1575" s="7">
        <v>116</v>
      </c>
      <c r="E1575" s="16"/>
      <c r="F1575" s="7">
        <f t="shared" si="102"/>
        <v>15134</v>
      </c>
      <c r="G1575" s="17"/>
      <c r="H1575" s="7">
        <v>132.05000000000001</v>
      </c>
      <c r="I1575" s="7">
        <v>147.9</v>
      </c>
      <c r="J1575" s="7">
        <v>238.5</v>
      </c>
      <c r="K1575" s="7"/>
      <c r="L1575" s="7"/>
      <c r="M1575" s="7">
        <v>288.55</v>
      </c>
      <c r="N1575" s="17"/>
      <c r="P1575" s="17"/>
      <c r="Q1575" s="5" t="s">
        <v>112</v>
      </c>
      <c r="R1575" s="30">
        <f>SUM(Q1571:Q1574)</f>
        <v>8100</v>
      </c>
      <c r="S1575" s="5">
        <f>SUM(S1571:S1574)</f>
        <v>150</v>
      </c>
      <c r="T1575" s="5">
        <f>(R1575/S1575)*2</f>
        <v>108</v>
      </c>
      <c r="U1575" s="100"/>
      <c r="V1575" s="17"/>
      <c r="W1575" s="66">
        <v>0.54097222222222219</v>
      </c>
      <c r="X1575" s="7">
        <v>46.75</v>
      </c>
      <c r="Y1575" s="7">
        <v>124.7</v>
      </c>
      <c r="Z1575" s="66">
        <v>0.54097222222222219</v>
      </c>
    </row>
    <row r="1576" spans="2:26" x14ac:dyDescent="0.3">
      <c r="B1576" s="14">
        <f>B1575-50</f>
        <v>15200</v>
      </c>
      <c r="C1576" s="7">
        <v>106</v>
      </c>
      <c r="D1576" s="23">
        <v>97.7</v>
      </c>
      <c r="E1576" s="16"/>
      <c r="F1576" s="98">
        <f t="shared" si="102"/>
        <v>15102.3</v>
      </c>
      <c r="G1576" s="17"/>
      <c r="H1576" s="7">
        <v>112.8</v>
      </c>
      <c r="I1576" s="7">
        <v>126</v>
      </c>
      <c r="J1576" s="7">
        <v>210.05</v>
      </c>
      <c r="K1576" s="7"/>
      <c r="L1576" s="7"/>
      <c r="M1576" s="7">
        <v>255.75</v>
      </c>
      <c r="N1576" s="17"/>
      <c r="P1576" s="17"/>
      <c r="Q1576" s="17"/>
      <c r="R1576" s="17"/>
      <c r="S1576" s="17"/>
      <c r="T1576" s="17"/>
      <c r="U1576" s="17"/>
      <c r="V1576" s="17"/>
      <c r="W1576" s="66">
        <v>6.1805555555555558E-2</v>
      </c>
      <c r="X1576" s="7">
        <v>42.2</v>
      </c>
      <c r="Y1576" s="7">
        <v>132.80000000000001</v>
      </c>
      <c r="Z1576" s="66">
        <v>6.1805555555555558E-2</v>
      </c>
    </row>
    <row r="1577" spans="2:26" x14ac:dyDescent="0.3">
      <c r="B1577" s="99">
        <f>B1576-50</f>
        <v>15150</v>
      </c>
      <c r="C1577" s="51">
        <v>90</v>
      </c>
      <c r="D1577" s="7">
        <v>82.75</v>
      </c>
      <c r="E1577" s="16"/>
      <c r="F1577" s="7">
        <f t="shared" si="102"/>
        <v>15067.25</v>
      </c>
      <c r="G1577" s="17"/>
      <c r="H1577" s="7">
        <v>95.6</v>
      </c>
      <c r="I1577" s="7">
        <v>106.55</v>
      </c>
      <c r="J1577" s="7">
        <v>183.6</v>
      </c>
      <c r="K1577" s="7"/>
      <c r="L1577" s="7"/>
      <c r="M1577" s="7">
        <v>226.95</v>
      </c>
      <c r="N1577" s="17"/>
      <c r="P1577" s="17"/>
      <c r="Q1577" s="17"/>
      <c r="R1577" s="17"/>
      <c r="S1577" s="17"/>
      <c r="T1577" s="17"/>
      <c r="U1577" s="17"/>
      <c r="V1577" s="17"/>
      <c r="W1577" s="66">
        <v>8.2638888888888887E-2</v>
      </c>
      <c r="X1577" s="7">
        <v>35.35</v>
      </c>
      <c r="Y1577" s="7">
        <v>198</v>
      </c>
      <c r="Z1577" s="66">
        <v>8.2638888888888887E-2</v>
      </c>
    </row>
    <row r="1578" spans="2:26" x14ac:dyDescent="0.3">
      <c r="B1578" s="5">
        <f>B1577-50</f>
        <v>15100</v>
      </c>
      <c r="C1578" s="7">
        <v>76.099999999999994</v>
      </c>
      <c r="D1578" s="7">
        <v>69.099999999999994</v>
      </c>
      <c r="E1578" s="16"/>
      <c r="F1578" s="7">
        <f t="shared" si="102"/>
        <v>15030.9</v>
      </c>
      <c r="G1578" s="17"/>
      <c r="H1578" s="7">
        <v>81</v>
      </c>
      <c r="I1578" s="7">
        <v>89.8</v>
      </c>
      <c r="J1578" s="7">
        <v>159.30000000000001</v>
      </c>
      <c r="K1578" s="7"/>
      <c r="L1578" s="7"/>
      <c r="M1578" s="7">
        <v>195.9</v>
      </c>
      <c r="N1578" s="17"/>
      <c r="P1578" s="77">
        <f>SUM(R1569,R1575)</f>
        <v>8100</v>
      </c>
      <c r="Q1578" s="92" t="s">
        <v>72</v>
      </c>
      <c r="R1578" s="17"/>
      <c r="S1578" s="92" t="s">
        <v>73</v>
      </c>
      <c r="T1578" s="7">
        <f>((X1570+Y1570)-(X1578+Y1578))</f>
        <v>14.400000000000006</v>
      </c>
      <c r="U1578" s="7"/>
      <c r="V1578" s="98">
        <f>T1578*M1559</f>
        <v>2160.0000000000009</v>
      </c>
      <c r="W1578" s="66">
        <v>0.13541666666666666</v>
      </c>
      <c r="X1578" s="7">
        <v>44.9</v>
      </c>
      <c r="Y1578" s="23">
        <v>101.2</v>
      </c>
      <c r="Z1578" s="66">
        <v>0.43263888888888885</v>
      </c>
    </row>
    <row r="1580" spans="2:26" x14ac:dyDescent="0.3">
      <c r="H1580" s="40"/>
      <c r="I1580" s="40"/>
    </row>
    <row r="1581" spans="2:26" x14ac:dyDescent="0.3">
      <c r="H1581" s="40"/>
    </row>
    <row r="1582" spans="2:26" x14ac:dyDescent="0.3">
      <c r="H1582" s="40"/>
    </row>
    <row r="1590" spans="2:26" x14ac:dyDescent="0.3">
      <c r="B1590" s="40"/>
      <c r="C1590" s="50">
        <f>AVERAGE(B1591,D1590)</f>
        <v>14959.95</v>
      </c>
      <c r="D1590" s="51">
        <f>B1591+E1591</f>
        <v>15014.95</v>
      </c>
      <c r="E1590" s="50">
        <f>AVERAGE(D1590,F1590)</f>
        <v>15069.95</v>
      </c>
      <c r="F1590" s="50">
        <f>D1590+E1591</f>
        <v>15124.95</v>
      </c>
      <c r="G1590" s="17"/>
      <c r="H1590" s="88" t="str">
        <f>IF((C1599-D1599)&gt;(C1608-D1608),"LONG",IF(C1608&gt;D1606,"LONG","SHORT"))</f>
        <v>LONG</v>
      </c>
      <c r="I1590" s="104">
        <v>14836</v>
      </c>
      <c r="J1590" s="105" t="s">
        <v>122</v>
      </c>
      <c r="K1590" s="106">
        <v>15068</v>
      </c>
      <c r="L1590" s="17"/>
      <c r="M1590" s="94">
        <f>(160000)/4</f>
        <v>40000</v>
      </c>
      <c r="N1590" s="17"/>
      <c r="P1590" s="16"/>
      <c r="Q1590" s="149" t="s">
        <v>71</v>
      </c>
      <c r="R1590" s="149"/>
      <c r="S1590" s="149" t="s">
        <v>37</v>
      </c>
      <c r="T1590" s="149"/>
      <c r="U1590" s="89"/>
      <c r="V1590" s="17"/>
      <c r="W1590" s="90" t="s">
        <v>68</v>
      </c>
      <c r="X1590" s="91" t="s">
        <v>69</v>
      </c>
      <c r="Y1590" s="92" t="s">
        <v>70</v>
      </c>
      <c r="Z1590" s="90" t="s">
        <v>68</v>
      </c>
    </row>
    <row r="1591" spans="2:26" x14ac:dyDescent="0.3">
      <c r="B1591" s="50">
        <v>14904.95</v>
      </c>
      <c r="C1591" s="40"/>
      <c r="D1591" s="58"/>
      <c r="E1591" s="59">
        <f>ROUND((((B1591*F1591%)/4)/10),0)*10</f>
        <v>110</v>
      </c>
      <c r="F1591" s="51">
        <f>(100/B1591)*(F1600-F1609)</f>
        <v>2.9362728489528744</v>
      </c>
      <c r="G1591" s="17"/>
      <c r="H1591" s="93">
        <v>0.39166666666666666</v>
      </c>
      <c r="I1591" s="93">
        <v>0.39861111111111108</v>
      </c>
      <c r="J1591" s="93">
        <v>0.4055555555555555</v>
      </c>
      <c r="K1591" s="93">
        <v>0.41250000000000003</v>
      </c>
      <c r="L1591" s="17"/>
      <c r="N1591" s="17"/>
      <c r="P1591" s="16"/>
      <c r="Q1591" s="51">
        <f>R1591-(S1591-R1591)</f>
        <v>14574.95</v>
      </c>
      <c r="R1591" s="51">
        <v>14955</v>
      </c>
      <c r="S1591" s="51">
        <v>15335.05</v>
      </c>
      <c r="T1591" s="51">
        <f>S1591+(S1591-R1591)</f>
        <v>15715.099999999999</v>
      </c>
      <c r="U1591" s="62"/>
      <c r="V1591" s="17"/>
      <c r="W1591" s="66">
        <v>0.41597222222222219</v>
      </c>
      <c r="X1591" s="7">
        <v>125.3</v>
      </c>
      <c r="Y1591" s="7">
        <v>136.25</v>
      </c>
      <c r="Z1591" s="66">
        <v>0.41597222222222219</v>
      </c>
    </row>
    <row r="1592" spans="2:26" x14ac:dyDescent="0.3">
      <c r="B1592" s="40"/>
      <c r="C1592" s="50">
        <f>AVERAGE(B1591,D1592)</f>
        <v>14849.95</v>
      </c>
      <c r="D1592" s="51">
        <f>B1591-E1591</f>
        <v>14794.95</v>
      </c>
      <c r="E1592" s="50">
        <f>AVERAGE(D1592,F1592)</f>
        <v>14739.95</v>
      </c>
      <c r="F1592" s="50">
        <f>D1592-E1591</f>
        <v>14684.95</v>
      </c>
      <c r="G1592" s="17"/>
      <c r="H1592" s="51">
        <v>14945</v>
      </c>
      <c r="I1592" s="51">
        <v>14907.1</v>
      </c>
      <c r="J1592" s="51">
        <v>14845.05</v>
      </c>
      <c r="K1592" s="51">
        <v>14900.55</v>
      </c>
      <c r="L1592" s="17"/>
      <c r="M1592" s="94">
        <f>ROUND((M1590/91)/225,0)*75</f>
        <v>150</v>
      </c>
      <c r="N1592" s="17"/>
      <c r="P1592" s="16"/>
      <c r="Q1592" s="17"/>
      <c r="R1592" s="17"/>
      <c r="S1592" s="17"/>
      <c r="T1592" s="16"/>
      <c r="U1592" s="16"/>
      <c r="V1592" s="17"/>
      <c r="W1592" s="66">
        <v>0.4368055555555555</v>
      </c>
      <c r="X1592" s="7">
        <v>116.4</v>
      </c>
      <c r="Y1592" s="7">
        <v>140.30000000000001</v>
      </c>
      <c r="Z1592" s="66">
        <v>0.4368055555555555</v>
      </c>
    </row>
    <row r="1593" spans="2:26" x14ac:dyDescent="0.3">
      <c r="B1593" s="17"/>
      <c r="C1593" s="17"/>
      <c r="D1593" s="17"/>
      <c r="E1593" s="17"/>
      <c r="F1593" s="16"/>
      <c r="G1593" s="16"/>
      <c r="H1593" s="17"/>
      <c r="I1593" s="17"/>
      <c r="J1593" s="17"/>
      <c r="K1593" s="16"/>
      <c r="L1593" s="17"/>
      <c r="M1593" s="17"/>
      <c r="N1593" s="17"/>
      <c r="P1593" s="16"/>
      <c r="Q1593" s="17"/>
      <c r="R1593" s="17"/>
      <c r="S1593" s="17"/>
      <c r="T1593" s="17"/>
      <c r="U1593" s="17"/>
      <c r="V1593" s="17"/>
      <c r="W1593" s="66">
        <v>0.45763888888888887</v>
      </c>
      <c r="X1593" s="7">
        <v>102.15</v>
      </c>
      <c r="Y1593" s="7">
        <v>156.44999999999999</v>
      </c>
      <c r="Z1593" s="66">
        <v>0.45763888888888887</v>
      </c>
    </row>
    <row r="1594" spans="2:26" x14ac:dyDescent="0.3">
      <c r="B1594" s="16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P1594" s="16"/>
      <c r="Q1594" s="17"/>
      <c r="R1594" s="17"/>
      <c r="S1594" s="17"/>
      <c r="T1594" s="17"/>
      <c r="U1594" s="17"/>
      <c r="V1594" s="17"/>
      <c r="W1594" s="66">
        <v>0.47847222222222219</v>
      </c>
      <c r="X1594" s="7">
        <v>90.35</v>
      </c>
      <c r="Y1594" s="7">
        <v>167.6</v>
      </c>
      <c r="Z1594" s="66">
        <v>0.47847222222222219</v>
      </c>
    </row>
    <row r="1595" spans="2:26" x14ac:dyDescent="0.3">
      <c r="B1595" s="17"/>
      <c r="C1595" s="95">
        <v>44270</v>
      </c>
      <c r="D1595" s="17"/>
      <c r="E1595" s="17"/>
      <c r="F1595" s="7">
        <f>AVERAGE(F1597,F1606)</f>
        <v>14909.475</v>
      </c>
      <c r="G1595" s="96"/>
      <c r="H1595" s="66">
        <v>0.41736111111111113</v>
      </c>
      <c r="I1595" s="66">
        <v>0.43194444444444446</v>
      </c>
      <c r="J1595" s="66"/>
      <c r="K1595" s="66">
        <v>0.4694444444444445</v>
      </c>
      <c r="L1595" s="66"/>
      <c r="M1595" s="66">
        <v>0.13541666666666666</v>
      </c>
      <c r="N1595" s="17"/>
      <c r="P1595" s="16"/>
      <c r="Q1595" s="17"/>
      <c r="R1595" s="17"/>
      <c r="S1595" s="17"/>
      <c r="T1595" s="17"/>
      <c r="U1595" s="17"/>
      <c r="V1595" s="17"/>
      <c r="W1595" s="66">
        <v>0.4993055555555555</v>
      </c>
      <c r="X1595" s="7">
        <v>92.65</v>
      </c>
      <c r="Y1595" s="7">
        <v>156</v>
      </c>
      <c r="Z1595" s="66">
        <v>0.4993055555555555</v>
      </c>
    </row>
    <row r="1596" spans="2:26" x14ac:dyDescent="0.3">
      <c r="B1596" s="90" t="s">
        <v>68</v>
      </c>
      <c r="C1596" s="66">
        <v>0.41666666666666669</v>
      </c>
      <c r="D1596" s="66">
        <v>0.4055555555555555</v>
      </c>
      <c r="E1596" s="17"/>
      <c r="F1596" s="17"/>
      <c r="G1596" s="17"/>
      <c r="H1596" s="7">
        <v>14879.95</v>
      </c>
      <c r="I1596" s="7">
        <v>14912</v>
      </c>
      <c r="J1596" s="7"/>
      <c r="K1596" s="7">
        <v>14814</v>
      </c>
      <c r="L1596" s="7"/>
      <c r="M1596" s="7">
        <v>14960.05</v>
      </c>
      <c r="N1596" s="17"/>
      <c r="P1596" s="16"/>
      <c r="Q1596" s="145" t="s">
        <v>72</v>
      </c>
      <c r="R1596" s="145"/>
      <c r="S1596" s="145"/>
      <c r="T1596" s="145"/>
      <c r="U1596" s="83"/>
      <c r="V1596" s="17"/>
      <c r="W1596" s="66">
        <v>0.52013888888888882</v>
      </c>
      <c r="X1596" s="7">
        <v>89</v>
      </c>
      <c r="Y1596" s="7">
        <v>162.80000000000001</v>
      </c>
      <c r="Z1596" s="66">
        <v>0.52013888888888882</v>
      </c>
    </row>
    <row r="1597" spans="2:26" x14ac:dyDescent="0.3">
      <c r="B1597" s="5">
        <f>B1598-50</f>
        <v>14900</v>
      </c>
      <c r="C1597" s="7">
        <v>149.80000000000001</v>
      </c>
      <c r="D1597" s="7">
        <v>129.5</v>
      </c>
      <c r="E1597" s="16"/>
      <c r="F1597" s="7">
        <f t="shared" ref="F1597:F1602" si="104">B1597+D1597</f>
        <v>15029.5</v>
      </c>
      <c r="G1597" s="17"/>
      <c r="H1597" s="7">
        <v>139.25</v>
      </c>
      <c r="I1597" s="7">
        <v>150.9</v>
      </c>
      <c r="J1597" s="7"/>
      <c r="K1597" s="7">
        <v>106.2</v>
      </c>
      <c r="L1597" s="7"/>
      <c r="M1597" s="7">
        <v>153.85</v>
      </c>
      <c r="N1597" s="17"/>
      <c r="P1597" s="16"/>
      <c r="Q1597" s="26"/>
      <c r="R1597" s="34" t="s">
        <v>2</v>
      </c>
      <c r="S1597" s="34" t="s">
        <v>111</v>
      </c>
      <c r="T1597" s="34" t="s">
        <v>1</v>
      </c>
      <c r="U1597" s="84"/>
      <c r="V1597" s="17"/>
      <c r="W1597" s="66">
        <v>0.54097222222222219</v>
      </c>
      <c r="X1597" s="7">
        <v>77.599999999999994</v>
      </c>
      <c r="Y1597" s="7">
        <v>177.6</v>
      </c>
      <c r="Z1597" s="66">
        <v>0.54097222222222219</v>
      </c>
    </row>
    <row r="1598" spans="2:26" x14ac:dyDescent="0.3">
      <c r="B1598" s="5">
        <f>B1599-50</f>
        <v>14950</v>
      </c>
      <c r="C1598" s="7">
        <v>125.3</v>
      </c>
      <c r="D1598" s="7">
        <v>107.55</v>
      </c>
      <c r="E1598" s="16"/>
      <c r="F1598" s="7">
        <f t="shared" si="104"/>
        <v>15057.55</v>
      </c>
      <c r="G1598" s="17"/>
      <c r="H1598" s="7">
        <v>116.25</v>
      </c>
      <c r="I1598" s="7">
        <v>124.75</v>
      </c>
      <c r="J1598" s="7"/>
      <c r="K1598" s="7">
        <v>86.8</v>
      </c>
      <c r="L1598" s="7"/>
      <c r="M1598" s="7">
        <v>127.8</v>
      </c>
      <c r="N1598" s="17"/>
      <c r="P1598" s="17"/>
      <c r="Q1598" s="7">
        <f>(T1598-R1598)*S1598</f>
        <v>0</v>
      </c>
      <c r="R1598" s="7"/>
      <c r="S1598" s="5"/>
      <c r="T1598" s="7"/>
      <c r="U1598" s="70"/>
      <c r="V1598" s="17"/>
      <c r="W1598" s="66">
        <v>6.1805555555555558E-2</v>
      </c>
      <c r="X1598" s="7">
        <v>77.400000000000006</v>
      </c>
      <c r="Y1598" s="7">
        <v>174.85</v>
      </c>
      <c r="Z1598" s="66">
        <v>6.1805555555555558E-2</v>
      </c>
    </row>
    <row r="1599" spans="2:26" x14ac:dyDescent="0.3">
      <c r="B1599" s="97">
        <v>15000</v>
      </c>
      <c r="C1599" s="7">
        <v>102.85</v>
      </c>
      <c r="D1599" s="7">
        <v>88.15</v>
      </c>
      <c r="E1599" s="16"/>
      <c r="F1599" s="7">
        <f t="shared" si="104"/>
        <v>15088.15</v>
      </c>
      <c r="G1599" s="17"/>
      <c r="H1599" s="7">
        <v>95.05</v>
      </c>
      <c r="I1599" s="7">
        <v>102.25</v>
      </c>
      <c r="J1599" s="7"/>
      <c r="K1599" s="7">
        <v>69.8</v>
      </c>
      <c r="L1599" s="7"/>
      <c r="M1599" s="7">
        <v>105</v>
      </c>
      <c r="N1599" s="17"/>
      <c r="P1599" s="17"/>
      <c r="Q1599" s="7">
        <f>(T1599-R1599)*S1599</f>
        <v>0</v>
      </c>
      <c r="R1599" s="7"/>
      <c r="S1599" s="5"/>
      <c r="T1599" s="7"/>
      <c r="U1599" s="70"/>
      <c r="V1599" s="17"/>
      <c r="W1599" s="66">
        <v>8.2638888888888887E-2</v>
      </c>
      <c r="X1599" s="7">
        <v>86.85</v>
      </c>
      <c r="Y1599" s="7">
        <v>148.75</v>
      </c>
      <c r="Z1599" s="66">
        <v>8.2638888888888887E-2</v>
      </c>
    </row>
    <row r="1600" spans="2:26" x14ac:dyDescent="0.3">
      <c r="B1600" s="5">
        <f>B1599+50</f>
        <v>15050</v>
      </c>
      <c r="C1600" s="7">
        <v>82.8</v>
      </c>
      <c r="D1600" s="23">
        <v>71.95</v>
      </c>
      <c r="E1600" s="16"/>
      <c r="F1600" s="98">
        <f t="shared" si="104"/>
        <v>15121.95</v>
      </c>
      <c r="G1600" s="17"/>
      <c r="H1600" s="7">
        <v>76.400000000000006</v>
      </c>
      <c r="I1600" s="7">
        <v>82.3</v>
      </c>
      <c r="J1600" s="7"/>
      <c r="K1600" s="7">
        <v>55.25</v>
      </c>
      <c r="L1600" s="7"/>
      <c r="M1600" s="7">
        <v>84.25</v>
      </c>
      <c r="N1600" s="17"/>
      <c r="P1600" s="17"/>
      <c r="Q1600" s="7">
        <f>(T1600-R1600)*S1600</f>
        <v>0</v>
      </c>
      <c r="R1600" s="7"/>
      <c r="S1600" s="5"/>
      <c r="T1600" s="7"/>
      <c r="U1600" s="70"/>
      <c r="V1600" s="17"/>
      <c r="W1600" s="17"/>
      <c r="X1600" s="17"/>
      <c r="Y1600" s="17"/>
      <c r="Z1600" s="17"/>
    </row>
    <row r="1601" spans="2:26" x14ac:dyDescent="0.3">
      <c r="B1601" s="99">
        <f>B1600+50</f>
        <v>15100</v>
      </c>
      <c r="C1601" s="51">
        <v>66</v>
      </c>
      <c r="D1601" s="7">
        <v>57.4</v>
      </c>
      <c r="E1601" s="16"/>
      <c r="F1601" s="7">
        <f t="shared" si="104"/>
        <v>15157.4</v>
      </c>
      <c r="G1601" s="17"/>
      <c r="H1601" s="7">
        <v>60.65</v>
      </c>
      <c r="I1601" s="7">
        <v>65.55</v>
      </c>
      <c r="J1601" s="7"/>
      <c r="K1601" s="7">
        <v>43.25</v>
      </c>
      <c r="L1601" s="7"/>
      <c r="M1601" s="7">
        <v>68.400000000000006</v>
      </c>
      <c r="N1601" s="17"/>
      <c r="P1601" s="17"/>
      <c r="Q1601" s="7">
        <f>(T1601-R1601)*S1601</f>
        <v>0</v>
      </c>
      <c r="R1601" s="7"/>
      <c r="S1601" s="5"/>
      <c r="T1601" s="7"/>
      <c r="U1601" s="70"/>
      <c r="V1601" s="17"/>
      <c r="W1601" s="90" t="s">
        <v>68</v>
      </c>
      <c r="X1601" s="91" t="s">
        <v>69</v>
      </c>
      <c r="Y1601" s="92" t="s">
        <v>70</v>
      </c>
      <c r="Z1601" s="90" t="s">
        <v>68</v>
      </c>
    </row>
    <row r="1602" spans="2:26" x14ac:dyDescent="0.3">
      <c r="B1602" s="5">
        <f>B1601+50</f>
        <v>15150</v>
      </c>
      <c r="C1602" s="7">
        <v>52</v>
      </c>
      <c r="D1602" s="7">
        <v>46.05</v>
      </c>
      <c r="E1602" s="16">
        <f>E1603-(F1603-E1603)</f>
        <v>47.09999999999998</v>
      </c>
      <c r="F1602" s="7">
        <f t="shared" si="104"/>
        <v>15196.05</v>
      </c>
      <c r="G1602" s="16">
        <f>G1603+(G1603-F1603)</f>
        <v>118.50000000000001</v>
      </c>
      <c r="H1602" s="7">
        <v>48</v>
      </c>
      <c r="I1602" s="7">
        <v>51.75</v>
      </c>
      <c r="J1602" s="7"/>
      <c r="K1602" s="7">
        <v>34</v>
      </c>
      <c r="L1602" s="7"/>
      <c r="M1602" s="7">
        <v>54.65</v>
      </c>
      <c r="N1602" s="17"/>
      <c r="P1602" s="17"/>
      <c r="Q1602" s="5" t="s">
        <v>112</v>
      </c>
      <c r="R1602" s="30">
        <f>SUM(Q1598:Q1601)</f>
        <v>0</v>
      </c>
      <c r="S1602" s="5">
        <f>SUM(S1598:S1601)</f>
        <v>0</v>
      </c>
      <c r="T1602" s="5" t="e">
        <f>(R1602/S1602)*2</f>
        <v>#DIV/0!</v>
      </c>
      <c r="U1602" s="100"/>
      <c r="V1602" s="17"/>
      <c r="W1602" s="66">
        <v>0.41597222222222219</v>
      </c>
      <c r="X1602" s="7">
        <v>66</v>
      </c>
      <c r="Y1602" s="7">
        <v>82.8</v>
      </c>
      <c r="Z1602" s="66">
        <v>0.41597222222222219</v>
      </c>
    </row>
    <row r="1603" spans="2:26" x14ac:dyDescent="0.3">
      <c r="B1603" s="17"/>
      <c r="C1603" s="17"/>
      <c r="D1603" s="16"/>
      <c r="E1603" s="16">
        <f>F1603-(G1603-F1603)</f>
        <v>64.949999999999989</v>
      </c>
      <c r="F1603" s="16">
        <f>AVERAGE(C1600,C1610)</f>
        <v>82.8</v>
      </c>
      <c r="G1603" s="16">
        <f>AVERAGE(C1599,C1609)</f>
        <v>100.65</v>
      </c>
      <c r="H1603" s="17"/>
      <c r="I1603" s="76"/>
      <c r="J1603" s="17"/>
      <c r="K1603" s="76"/>
      <c r="L1603" s="17"/>
      <c r="M1603" s="17"/>
      <c r="N1603" s="17"/>
      <c r="P1603" s="17"/>
      <c r="Q1603" s="17"/>
      <c r="R1603" s="17"/>
      <c r="S1603" s="17"/>
      <c r="T1603" s="17"/>
      <c r="U1603" s="17"/>
      <c r="V1603" s="16"/>
      <c r="W1603" s="66">
        <v>0.4368055555555555</v>
      </c>
      <c r="X1603" s="7">
        <v>61.15</v>
      </c>
      <c r="Y1603" s="7">
        <v>84.6</v>
      </c>
      <c r="Z1603" s="66">
        <v>0.4368055555555555</v>
      </c>
    </row>
    <row r="1604" spans="2:26" x14ac:dyDescent="0.3">
      <c r="B1604" s="17"/>
      <c r="C1604" s="95">
        <v>44273</v>
      </c>
      <c r="D1604" s="17"/>
      <c r="F1604" s="16"/>
      <c r="H1604" s="66">
        <v>0.41736111111111113</v>
      </c>
      <c r="I1604" s="66">
        <v>0.43194444444444446</v>
      </c>
      <c r="J1604" s="66"/>
      <c r="K1604" s="66">
        <v>0.4604166666666667</v>
      </c>
      <c r="L1604" s="66"/>
      <c r="M1604" s="66">
        <v>0.13541666666666666</v>
      </c>
      <c r="P1604" s="17"/>
      <c r="Q1604" s="7">
        <f>(T1604-R1604)*S1604</f>
        <v>1331.25</v>
      </c>
      <c r="R1604" s="18">
        <v>91.95</v>
      </c>
      <c r="S1604" s="5">
        <v>75</v>
      </c>
      <c r="T1604" s="7">
        <v>109.7</v>
      </c>
      <c r="U1604" s="70"/>
      <c r="V1604" s="17"/>
      <c r="W1604" s="66">
        <v>0.45763888888888887</v>
      </c>
      <c r="X1604" s="7">
        <v>52.4</v>
      </c>
      <c r="Y1604" s="7">
        <v>94.5</v>
      </c>
      <c r="Z1604" s="66">
        <v>0.45763888888888887</v>
      </c>
    </row>
    <row r="1605" spans="2:26" x14ac:dyDescent="0.3">
      <c r="B1605" s="90" t="s">
        <v>68</v>
      </c>
      <c r="C1605" s="66">
        <v>0.41666666666666669</v>
      </c>
      <c r="D1605" s="66">
        <v>0.38680555555555557</v>
      </c>
      <c r="E1605" s="16">
        <f>F1605-(G1605-F1605)</f>
        <v>71.525000000000006</v>
      </c>
      <c r="F1605" s="16">
        <f>AVERAGE(C1609,C1600)</f>
        <v>90.625</v>
      </c>
      <c r="G1605" s="16">
        <f>AVERAGE(C1608,C1599)</f>
        <v>109.72499999999999</v>
      </c>
      <c r="H1605" s="23">
        <v>90.6</v>
      </c>
      <c r="I1605" s="23">
        <v>128.80000000000001</v>
      </c>
      <c r="J1605" s="7"/>
      <c r="K1605" s="23">
        <v>109.7</v>
      </c>
      <c r="L1605" s="7"/>
      <c r="M1605" s="7">
        <v>14960.05</v>
      </c>
      <c r="P1605" s="17"/>
      <c r="Q1605" s="7">
        <f>(T1605-R1605)*S1605</f>
        <v>-603.74999999999977</v>
      </c>
      <c r="R1605" s="18">
        <v>91.95</v>
      </c>
      <c r="S1605" s="5">
        <v>75</v>
      </c>
      <c r="T1605" s="7">
        <v>83.9</v>
      </c>
      <c r="U1605" s="70"/>
      <c r="V1605" s="17"/>
      <c r="W1605" s="66">
        <v>0.47847222222222219</v>
      </c>
      <c r="X1605" s="7">
        <v>46</v>
      </c>
      <c r="Y1605" s="7">
        <v>101</v>
      </c>
      <c r="Z1605" s="66">
        <v>0.47847222222222219</v>
      </c>
    </row>
    <row r="1606" spans="2:26" x14ac:dyDescent="0.3">
      <c r="B1606" s="5">
        <f>B1607+50</f>
        <v>14900</v>
      </c>
      <c r="C1606" s="7">
        <v>159.30000000000001</v>
      </c>
      <c r="D1606" s="7">
        <v>110.55</v>
      </c>
      <c r="E1606" s="16">
        <f>E1605-(F1605-E1605)</f>
        <v>52.425000000000011</v>
      </c>
      <c r="F1606" s="7">
        <f t="shared" ref="F1606:F1611" si="105">B1606-D1606</f>
        <v>14789.45</v>
      </c>
      <c r="G1606" s="16">
        <f>G1605+(G1605-F1605)</f>
        <v>128.82499999999999</v>
      </c>
      <c r="H1606" s="7">
        <v>172.75</v>
      </c>
      <c r="I1606" s="7">
        <v>153.4</v>
      </c>
      <c r="J1606" s="7"/>
      <c r="K1606" s="7">
        <v>205</v>
      </c>
      <c r="L1606" s="7"/>
      <c r="M1606" s="7">
        <v>109.8</v>
      </c>
      <c r="N1606" s="17"/>
      <c r="P1606" s="17"/>
      <c r="Q1606" s="7">
        <f t="shared" ref="Q1606:Q1607" si="106">(T1606-R1606)*S1606</f>
        <v>0</v>
      </c>
      <c r="R1606" s="18"/>
      <c r="S1606" s="99"/>
      <c r="T1606" s="18"/>
      <c r="U1606" s="101"/>
      <c r="V1606" s="16"/>
      <c r="W1606" s="66">
        <v>0.4993055555555555</v>
      </c>
      <c r="X1606" s="7">
        <v>46.7</v>
      </c>
      <c r="Y1606" s="7">
        <v>93.2</v>
      </c>
      <c r="Z1606" s="66">
        <v>0.4993055555555555</v>
      </c>
    </row>
    <row r="1607" spans="2:26" x14ac:dyDescent="0.3">
      <c r="B1607" s="5">
        <f>B1608+50</f>
        <v>14850</v>
      </c>
      <c r="C1607" s="7">
        <v>136.35</v>
      </c>
      <c r="D1607" s="7">
        <v>93.55</v>
      </c>
      <c r="E1607" s="16"/>
      <c r="F1607" s="7">
        <f t="shared" si="105"/>
        <v>14756.45</v>
      </c>
      <c r="G1607" s="16"/>
      <c r="H1607" s="7">
        <v>149</v>
      </c>
      <c r="I1607" s="7">
        <v>131.65</v>
      </c>
      <c r="J1607" s="7"/>
      <c r="K1607" s="7">
        <v>177.25</v>
      </c>
      <c r="L1607" s="7"/>
      <c r="M1607" s="7">
        <v>89</v>
      </c>
      <c r="N1607" s="17"/>
      <c r="P1607" s="17"/>
      <c r="Q1607" s="7">
        <f t="shared" si="106"/>
        <v>0</v>
      </c>
      <c r="R1607" s="18"/>
      <c r="S1607" s="99"/>
      <c r="T1607" s="18"/>
      <c r="U1607" s="101"/>
      <c r="V1607" s="16"/>
      <c r="W1607" s="66">
        <v>0.52013888888888882</v>
      </c>
      <c r="X1607" s="7">
        <v>45.1</v>
      </c>
      <c r="Y1607" s="7">
        <v>97.15</v>
      </c>
      <c r="Z1607" s="66">
        <v>0.52013888888888882</v>
      </c>
    </row>
    <row r="1608" spans="2:26" x14ac:dyDescent="0.3">
      <c r="B1608" s="97">
        <v>14800</v>
      </c>
      <c r="C1608" s="7">
        <v>116.6</v>
      </c>
      <c r="D1608" s="7">
        <v>79.25</v>
      </c>
      <c r="E1608" s="16"/>
      <c r="F1608" s="7">
        <f t="shared" si="105"/>
        <v>14720.75</v>
      </c>
      <c r="G1608" s="17"/>
      <c r="H1608" s="7">
        <v>127.25</v>
      </c>
      <c r="I1608" s="7">
        <v>112</v>
      </c>
      <c r="J1608" s="7"/>
      <c r="K1608" s="7">
        <v>151.25</v>
      </c>
      <c r="L1608" s="7"/>
      <c r="M1608" s="7">
        <v>71.5</v>
      </c>
      <c r="N1608" s="17"/>
      <c r="P1608" s="17"/>
      <c r="Q1608" s="5" t="s">
        <v>112</v>
      </c>
      <c r="R1608" s="30">
        <f>SUM(Q1604:Q1607)</f>
        <v>727.50000000000023</v>
      </c>
      <c r="S1608" s="5">
        <f>SUM(S1604:S1607)</f>
        <v>150</v>
      </c>
      <c r="T1608" s="5">
        <f>(R1608/S1608)*2</f>
        <v>9.7000000000000028</v>
      </c>
      <c r="U1608" s="100"/>
      <c r="V1608" s="17"/>
      <c r="W1608" s="66">
        <v>0.54097222222222219</v>
      </c>
      <c r="X1608" s="7">
        <v>39.299999999999997</v>
      </c>
      <c r="Y1608" s="7">
        <v>106.1</v>
      </c>
      <c r="Z1608" s="66">
        <v>0.54097222222222219</v>
      </c>
    </row>
    <row r="1609" spans="2:26" x14ac:dyDescent="0.3">
      <c r="B1609" s="14">
        <f>B1608-50</f>
        <v>14750</v>
      </c>
      <c r="C1609" s="7">
        <v>98.45</v>
      </c>
      <c r="D1609" s="23">
        <v>65.7</v>
      </c>
      <c r="E1609" s="16"/>
      <c r="F1609" s="98">
        <f t="shared" si="105"/>
        <v>14684.3</v>
      </c>
      <c r="G1609" s="17"/>
      <c r="H1609" s="7">
        <v>108.55</v>
      </c>
      <c r="I1609" s="7">
        <v>94</v>
      </c>
      <c r="J1609" s="7"/>
      <c r="K1609" s="7">
        <v>129.15</v>
      </c>
      <c r="L1609" s="7"/>
      <c r="M1609" s="7">
        <v>56.15</v>
      </c>
      <c r="N1609" s="17"/>
      <c r="P1609" s="17"/>
      <c r="Q1609" s="17"/>
      <c r="R1609" s="17"/>
      <c r="S1609" s="17"/>
      <c r="T1609" s="17"/>
      <c r="U1609" s="17"/>
      <c r="V1609" s="17"/>
      <c r="W1609" s="66">
        <v>6.1805555555555558E-2</v>
      </c>
      <c r="X1609" s="7">
        <v>38.700000000000003</v>
      </c>
      <c r="Y1609" s="7">
        <v>102.7</v>
      </c>
      <c r="Z1609" s="66">
        <v>6.1805555555555558E-2</v>
      </c>
    </row>
    <row r="1610" spans="2:26" x14ac:dyDescent="0.3">
      <c r="B1610" s="99">
        <f>B1609-50</f>
        <v>14700</v>
      </c>
      <c r="C1610" s="51">
        <v>82.8</v>
      </c>
      <c r="D1610" s="7">
        <v>55.4</v>
      </c>
      <c r="E1610" s="16"/>
      <c r="F1610" s="7">
        <f t="shared" si="105"/>
        <v>14644.6</v>
      </c>
      <c r="G1610" s="17"/>
      <c r="H1610" s="7">
        <v>91.95</v>
      </c>
      <c r="I1610" s="7">
        <v>79.7</v>
      </c>
      <c r="J1610" s="7"/>
      <c r="K1610" s="7">
        <v>108.6</v>
      </c>
      <c r="L1610" s="7"/>
      <c r="M1610" s="7">
        <v>44.4</v>
      </c>
      <c r="N1610" s="17"/>
      <c r="P1610" s="17"/>
      <c r="Q1610" s="17"/>
      <c r="R1610" s="17"/>
      <c r="S1610" s="17"/>
      <c r="T1610" s="17"/>
      <c r="U1610" s="17"/>
      <c r="V1610" s="17"/>
      <c r="W1610" s="66">
        <v>8.2638888888888887E-2</v>
      </c>
      <c r="X1610" s="7">
        <v>43.25</v>
      </c>
      <c r="Y1610" s="7">
        <v>83.95</v>
      </c>
      <c r="Z1610" s="66">
        <v>8.2638888888888887E-2</v>
      </c>
    </row>
    <row r="1611" spans="2:26" x14ac:dyDescent="0.3">
      <c r="B1611" s="5">
        <f>B1610-50</f>
        <v>14650</v>
      </c>
      <c r="C1611" s="7">
        <v>69.45</v>
      </c>
      <c r="D1611" s="7">
        <v>46.45</v>
      </c>
      <c r="E1611" s="16"/>
      <c r="F1611" s="7">
        <f t="shared" si="105"/>
        <v>14603.55</v>
      </c>
      <c r="G1611" s="17"/>
      <c r="H1611" s="7">
        <v>77</v>
      </c>
      <c r="I1611" s="7">
        <v>66.55</v>
      </c>
      <c r="J1611" s="7"/>
      <c r="K1611" s="7">
        <v>90.8</v>
      </c>
      <c r="L1611" s="7"/>
      <c r="M1611" s="7">
        <v>34.65</v>
      </c>
      <c r="N1611" s="17"/>
      <c r="P1611" s="98">
        <f>SUM(R1602,R1608)</f>
        <v>727.50000000000023</v>
      </c>
      <c r="Q1611" s="92" t="s">
        <v>72</v>
      </c>
      <c r="R1611" s="17"/>
      <c r="S1611" s="92" t="s">
        <v>73</v>
      </c>
      <c r="T1611" s="7">
        <f>((X1603+Y1603)-(X1611+Y1611))</f>
        <v>13</v>
      </c>
      <c r="U1611" s="7"/>
      <c r="V1611" s="98">
        <f>T1611*M1592</f>
        <v>1950</v>
      </c>
      <c r="W1611" s="66">
        <v>0.4604166666666667</v>
      </c>
      <c r="X1611" s="7">
        <v>48.15</v>
      </c>
      <c r="Y1611" s="23">
        <v>84.6</v>
      </c>
      <c r="Z1611" s="66">
        <v>0.4368055555555555</v>
      </c>
    </row>
    <row r="1623" spans="2:26" x14ac:dyDescent="0.3">
      <c r="B1623" s="40"/>
      <c r="C1623" s="50">
        <f>AVERAGE(B1624,D1623)</f>
        <v>14922.5</v>
      </c>
      <c r="D1623" s="51">
        <f>B1624+E1624</f>
        <v>14987.5</v>
      </c>
      <c r="E1623" s="50">
        <f>AVERAGE(D1623,F1623)</f>
        <v>15052.5</v>
      </c>
      <c r="F1623" s="50">
        <f>D1623+E1624</f>
        <v>15117.5</v>
      </c>
      <c r="G1623" s="17"/>
      <c r="H1623" s="88" t="str">
        <f>IF((C1632-D1632)&gt;(C1641-D1641),"LONG",IF(C1641&gt;D1639,"LONG","SHORT"))</f>
        <v>SHORT</v>
      </c>
      <c r="I1623" s="104">
        <v>14845</v>
      </c>
      <c r="J1623" s="105" t="s">
        <v>122</v>
      </c>
      <c r="K1623" s="106">
        <v>14900</v>
      </c>
      <c r="L1623" s="17"/>
      <c r="M1623" s="94">
        <f>(152000)/4</f>
        <v>38000</v>
      </c>
      <c r="N1623" s="17"/>
      <c r="P1623" s="16"/>
      <c r="Q1623" s="149" t="s">
        <v>71</v>
      </c>
      <c r="R1623" s="149"/>
      <c r="S1623" s="149" t="s">
        <v>37</v>
      </c>
      <c r="T1623" s="149"/>
      <c r="U1623" s="89"/>
      <c r="V1623" s="17"/>
      <c r="W1623" s="90" t="s">
        <v>68</v>
      </c>
      <c r="X1623" s="91" t="s">
        <v>69</v>
      </c>
      <c r="Y1623" s="92" t="s">
        <v>70</v>
      </c>
      <c r="Z1623" s="90" t="s">
        <v>68</v>
      </c>
    </row>
    <row r="1624" spans="2:26" x14ac:dyDescent="0.3">
      <c r="B1624" s="50">
        <v>14857.5</v>
      </c>
      <c r="C1624" s="40"/>
      <c r="D1624" s="58"/>
      <c r="E1624" s="59">
        <f>ROUND((((B1624*F1624%)/4)/10),0)*10</f>
        <v>130</v>
      </c>
      <c r="F1624" s="51">
        <f>(100/B1624)*(F1633-F1642)</f>
        <v>3.4746760895170787</v>
      </c>
      <c r="G1624" s="17"/>
      <c r="H1624" s="93">
        <v>0.39166666666666666</v>
      </c>
      <c r="I1624" s="93">
        <v>0.39861111111111108</v>
      </c>
      <c r="J1624" s="93">
        <v>0.4055555555555555</v>
      </c>
      <c r="K1624" s="93">
        <v>0.41250000000000003</v>
      </c>
      <c r="L1624" s="17"/>
      <c r="N1624" s="17"/>
      <c r="P1624" s="16"/>
      <c r="Q1624" s="51">
        <f>R1624-(S1624-R1624)</f>
        <v>14235.05</v>
      </c>
      <c r="R1624" s="51">
        <v>14597.5</v>
      </c>
      <c r="S1624" s="51">
        <v>14959.95</v>
      </c>
      <c r="T1624" s="51">
        <f>S1624+(S1624-R1624)</f>
        <v>15322.400000000001</v>
      </c>
      <c r="U1624" s="62"/>
      <c r="V1624" s="17"/>
      <c r="W1624" s="66">
        <v>0.41597222222222219</v>
      </c>
      <c r="X1624" s="7">
        <v>133.44999999999999</v>
      </c>
      <c r="Y1624" s="7">
        <v>135.19999999999999</v>
      </c>
      <c r="Z1624" s="66">
        <v>0.41597222222222219</v>
      </c>
    </row>
    <row r="1625" spans="2:26" x14ac:dyDescent="0.3">
      <c r="B1625" s="40"/>
      <c r="C1625" s="50">
        <f>AVERAGE(B1624,D1625)</f>
        <v>14792.5</v>
      </c>
      <c r="D1625" s="51">
        <f>B1624-E1624</f>
        <v>14727.5</v>
      </c>
      <c r="E1625" s="50">
        <f>AVERAGE(D1625,F1625)</f>
        <v>14662.5</v>
      </c>
      <c r="F1625" s="50">
        <f>D1625-E1624</f>
        <v>14597.5</v>
      </c>
      <c r="G1625" s="17"/>
      <c r="H1625" s="51">
        <v>14864.4</v>
      </c>
      <c r="I1625" s="51">
        <v>14878.05</v>
      </c>
      <c r="J1625" s="51">
        <v>14891.65</v>
      </c>
      <c r="K1625" s="51">
        <v>14863</v>
      </c>
      <c r="L1625" s="17"/>
      <c r="M1625" s="94">
        <f>ROUND((M1623/91)/225,0)*75</f>
        <v>150</v>
      </c>
      <c r="N1625" s="17"/>
      <c r="P1625" s="16"/>
      <c r="Q1625" s="17"/>
      <c r="R1625" s="17"/>
      <c r="S1625" s="17"/>
      <c r="T1625" s="16"/>
      <c r="U1625" s="16"/>
      <c r="V1625" s="17"/>
      <c r="W1625" s="66">
        <v>0.4368055555555555</v>
      </c>
      <c r="X1625" s="7">
        <v>121.6</v>
      </c>
      <c r="Y1625" s="7">
        <v>141.44999999999999</v>
      </c>
      <c r="Z1625" s="66">
        <v>0.4368055555555555</v>
      </c>
    </row>
    <row r="1626" spans="2:26" x14ac:dyDescent="0.3">
      <c r="B1626" s="17"/>
      <c r="C1626" s="17"/>
      <c r="D1626" s="17"/>
      <c r="E1626" s="17"/>
      <c r="F1626" s="16"/>
      <c r="G1626" s="16"/>
      <c r="H1626" s="17"/>
      <c r="I1626" s="17"/>
      <c r="J1626" s="17"/>
      <c r="K1626" s="16"/>
      <c r="L1626" s="17"/>
      <c r="M1626" s="17"/>
      <c r="N1626" s="17"/>
      <c r="P1626" s="16"/>
      <c r="Q1626" s="17"/>
      <c r="R1626" s="17"/>
      <c r="S1626" s="17"/>
      <c r="T1626" s="17"/>
      <c r="U1626" s="17"/>
      <c r="V1626" s="17"/>
      <c r="W1626" s="66">
        <v>0.45763888888888887</v>
      </c>
      <c r="X1626" s="7">
        <v>114.85</v>
      </c>
      <c r="Y1626" s="7">
        <v>147</v>
      </c>
      <c r="Z1626" s="66">
        <v>0.45763888888888887</v>
      </c>
    </row>
    <row r="1627" spans="2:26" x14ac:dyDescent="0.3">
      <c r="B1627" s="16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P1627" s="16"/>
      <c r="Q1627" s="17"/>
      <c r="R1627" s="17"/>
      <c r="S1627" s="17"/>
      <c r="T1627" s="17"/>
      <c r="U1627" s="17"/>
      <c r="V1627" s="17"/>
      <c r="W1627" s="66">
        <v>0.47847222222222219</v>
      </c>
      <c r="X1627" s="7">
        <v>110</v>
      </c>
      <c r="Y1627" s="7">
        <v>152.35</v>
      </c>
      <c r="Z1627" s="66">
        <v>0.47847222222222219</v>
      </c>
    </row>
    <row r="1628" spans="2:26" x14ac:dyDescent="0.3">
      <c r="B1628" s="17"/>
      <c r="C1628" s="95">
        <v>44273</v>
      </c>
      <c r="D1628" s="17"/>
      <c r="E1628" s="17"/>
      <c r="F1628" s="7">
        <f>AVERAGE(F1630,F1639)</f>
        <v>14860.8</v>
      </c>
      <c r="G1628" s="96"/>
      <c r="H1628" s="66">
        <v>0.4375</v>
      </c>
      <c r="I1628" s="66">
        <v>4.8611111111111112E-2</v>
      </c>
      <c r="J1628" s="66">
        <v>5.347222222222222E-2</v>
      </c>
      <c r="K1628" s="66">
        <v>6.458333333333334E-2</v>
      </c>
      <c r="L1628" s="66"/>
      <c r="M1628" s="66">
        <v>0.13541666666666666</v>
      </c>
      <c r="N1628" s="17"/>
      <c r="P1628" s="16"/>
      <c r="Q1628" s="17"/>
      <c r="R1628" s="17"/>
      <c r="S1628" s="17"/>
      <c r="T1628" s="17"/>
      <c r="U1628" s="17"/>
      <c r="V1628" s="17"/>
      <c r="W1628" s="66">
        <v>0.4993055555555555</v>
      </c>
      <c r="X1628" s="7">
        <v>115.55</v>
      </c>
      <c r="Y1628" s="7">
        <v>140.65</v>
      </c>
      <c r="Z1628" s="66">
        <v>0.4993055555555555</v>
      </c>
    </row>
    <row r="1629" spans="2:26" x14ac:dyDescent="0.3">
      <c r="B1629" s="90" t="s">
        <v>68</v>
      </c>
      <c r="C1629" s="66">
        <v>0.41666666666666669</v>
      </c>
      <c r="D1629" s="66">
        <v>0.4152777777777778</v>
      </c>
      <c r="E1629" s="17"/>
      <c r="F1629" s="17"/>
      <c r="G1629" s="17"/>
      <c r="H1629" s="7">
        <v>14819.65</v>
      </c>
      <c r="I1629" s="7">
        <v>14768.05</v>
      </c>
      <c r="J1629" s="23">
        <v>41.6</v>
      </c>
      <c r="K1629" s="23">
        <v>34.299999999999997</v>
      </c>
      <c r="L1629" s="7"/>
      <c r="M1629" s="7">
        <v>14604.25</v>
      </c>
      <c r="N1629" s="17"/>
      <c r="P1629" s="17"/>
      <c r="Q1629" s="145" t="s">
        <v>72</v>
      </c>
      <c r="R1629" s="145"/>
      <c r="S1629" s="145"/>
      <c r="T1629" s="145"/>
      <c r="U1629" s="83"/>
      <c r="V1629" s="17"/>
      <c r="W1629" s="66">
        <v>0.52013888888888882</v>
      </c>
      <c r="X1629" s="7">
        <v>120.4</v>
      </c>
      <c r="Y1629" s="7">
        <v>135.75</v>
      </c>
      <c r="Z1629" s="66">
        <v>0.52013888888888882</v>
      </c>
    </row>
    <row r="1630" spans="2:26" x14ac:dyDescent="0.3">
      <c r="B1630" s="5">
        <f>B1631-50</f>
        <v>14850</v>
      </c>
      <c r="C1630" s="7">
        <v>184.4</v>
      </c>
      <c r="D1630" s="7">
        <v>182</v>
      </c>
      <c r="E1630" s="16"/>
      <c r="F1630" s="7">
        <f t="shared" ref="F1630:F1635" si="107">B1630+D1630</f>
        <v>15032</v>
      </c>
      <c r="G1630" s="17"/>
      <c r="H1630" s="7">
        <v>162</v>
      </c>
      <c r="I1630" s="7">
        <v>136.30000000000001</v>
      </c>
      <c r="J1630" s="7">
        <v>116.25</v>
      </c>
      <c r="K1630" s="7">
        <v>92.85</v>
      </c>
      <c r="L1630" s="7"/>
      <c r="M1630" s="7">
        <v>80.650000000000006</v>
      </c>
      <c r="N1630" s="17"/>
      <c r="P1630" s="17"/>
      <c r="Q1630" s="26"/>
      <c r="R1630" s="34" t="s">
        <v>2</v>
      </c>
      <c r="S1630" s="34" t="s">
        <v>111</v>
      </c>
      <c r="T1630" s="34" t="s">
        <v>1</v>
      </c>
      <c r="U1630" s="84"/>
      <c r="V1630" s="17"/>
      <c r="W1630" s="66">
        <v>0.54097222222222219</v>
      </c>
      <c r="X1630" s="7">
        <v>106</v>
      </c>
      <c r="Y1630" s="7">
        <v>153</v>
      </c>
      <c r="Z1630" s="66">
        <v>0.54097222222222219</v>
      </c>
    </row>
    <row r="1631" spans="2:26" x14ac:dyDescent="0.3">
      <c r="B1631" s="5">
        <f>B1632-50</f>
        <v>14900</v>
      </c>
      <c r="C1631" s="7">
        <v>158.1</v>
      </c>
      <c r="D1631" s="7">
        <v>155.55000000000001</v>
      </c>
      <c r="E1631" s="16"/>
      <c r="F1631" s="7">
        <f t="shared" si="107"/>
        <v>15055.55</v>
      </c>
      <c r="G1631" s="17"/>
      <c r="H1631" s="7">
        <v>137.05000000000001</v>
      </c>
      <c r="I1631" s="7">
        <v>114.45</v>
      </c>
      <c r="J1631" s="7">
        <v>95.6</v>
      </c>
      <c r="K1631" s="7">
        <v>76.75</v>
      </c>
      <c r="L1631" s="7"/>
      <c r="M1631" s="7">
        <v>66.849999999999994</v>
      </c>
      <c r="N1631" s="17"/>
      <c r="P1631" s="17"/>
      <c r="Q1631" s="7">
        <f>(T1631-R1631)*S1631</f>
        <v>0</v>
      </c>
      <c r="R1631" s="7"/>
      <c r="S1631" s="5"/>
      <c r="T1631" s="7"/>
      <c r="U1631" s="70"/>
      <c r="V1631" s="17"/>
      <c r="W1631" s="66">
        <v>6.1805555555555558E-2</v>
      </c>
      <c r="X1631" s="7">
        <v>72.5</v>
      </c>
      <c r="Y1631" s="7">
        <v>235</v>
      </c>
      <c r="Z1631" s="66">
        <v>6.1805555555555558E-2</v>
      </c>
    </row>
    <row r="1632" spans="2:26" x14ac:dyDescent="0.3">
      <c r="B1632" s="97">
        <v>14950</v>
      </c>
      <c r="C1632" s="7">
        <v>133.44999999999999</v>
      </c>
      <c r="D1632" s="7">
        <v>132</v>
      </c>
      <c r="E1632" s="16"/>
      <c r="F1632" s="7">
        <f t="shared" si="107"/>
        <v>15082</v>
      </c>
      <c r="G1632" s="17"/>
      <c r="H1632" s="7">
        <v>114.75</v>
      </c>
      <c r="I1632" s="7">
        <v>95.1</v>
      </c>
      <c r="J1632" s="7">
        <v>78.5</v>
      </c>
      <c r="K1632" s="7">
        <v>63.35</v>
      </c>
      <c r="L1632" s="7"/>
      <c r="M1632" s="7">
        <v>55.35</v>
      </c>
      <c r="N1632" s="17"/>
      <c r="P1632" s="17"/>
      <c r="Q1632" s="7">
        <f>(T1632-R1632)*S1632</f>
        <v>0</v>
      </c>
      <c r="R1632" s="7"/>
      <c r="S1632" s="5"/>
      <c r="T1632" s="7"/>
      <c r="U1632" s="70"/>
      <c r="V1632" s="17"/>
      <c r="W1632" s="66">
        <v>8.2638888888888887E-2</v>
      </c>
      <c r="X1632" s="7">
        <v>50.2</v>
      </c>
      <c r="Y1632" s="7">
        <v>274.95</v>
      </c>
      <c r="Z1632" s="66">
        <v>8.2638888888888887E-2</v>
      </c>
    </row>
    <row r="1633" spans="2:26" x14ac:dyDescent="0.3">
      <c r="B1633" s="5">
        <f>B1632+50</f>
        <v>15000</v>
      </c>
      <c r="C1633" s="7">
        <v>111.55</v>
      </c>
      <c r="D1633" s="23">
        <v>109.45</v>
      </c>
      <c r="E1633" s="16"/>
      <c r="F1633" s="98">
        <f t="shared" si="107"/>
        <v>15109.45</v>
      </c>
      <c r="G1633" s="17"/>
      <c r="H1633" s="7">
        <v>94.1</v>
      </c>
      <c r="I1633" s="7">
        <v>77.8</v>
      </c>
      <c r="J1633" s="7">
        <v>63.55</v>
      </c>
      <c r="K1633" s="7">
        <v>51.6</v>
      </c>
      <c r="L1633" s="7"/>
      <c r="M1633" s="7">
        <v>45.85</v>
      </c>
      <c r="N1633" s="17"/>
      <c r="P1633" s="17"/>
      <c r="Q1633" s="7">
        <f>(T1633-R1633)*S1633</f>
        <v>0</v>
      </c>
      <c r="R1633" s="7"/>
      <c r="S1633" s="5"/>
      <c r="T1633" s="7"/>
      <c r="U1633" s="70"/>
      <c r="V1633" s="17"/>
      <c r="W1633" s="17"/>
      <c r="X1633" s="17"/>
      <c r="Y1633" s="17"/>
      <c r="Z1633" s="17"/>
    </row>
    <row r="1634" spans="2:26" x14ac:dyDescent="0.3">
      <c r="B1634" s="99">
        <f>B1633+50</f>
        <v>15050</v>
      </c>
      <c r="C1634" s="7">
        <v>91.75</v>
      </c>
      <c r="D1634" s="7">
        <v>90.35</v>
      </c>
      <c r="E1634" s="16"/>
      <c r="F1634" s="7">
        <f t="shared" si="107"/>
        <v>15140.35</v>
      </c>
      <c r="G1634" s="17"/>
      <c r="H1634" s="7">
        <v>76.05</v>
      </c>
      <c r="I1634" s="7">
        <v>63.45</v>
      </c>
      <c r="J1634" s="7">
        <v>52.05</v>
      </c>
      <c r="K1634" s="7">
        <v>42.45</v>
      </c>
      <c r="L1634" s="7"/>
      <c r="M1634" s="7">
        <v>38.450000000000003</v>
      </c>
      <c r="N1634" s="17"/>
      <c r="P1634" s="17"/>
      <c r="Q1634" s="7">
        <f>(T1634-R1634)*S1634</f>
        <v>0</v>
      </c>
      <c r="R1634" s="7"/>
      <c r="S1634" s="5"/>
      <c r="T1634" s="7"/>
      <c r="U1634" s="70"/>
      <c r="V1634" s="17"/>
      <c r="W1634" s="90" t="s">
        <v>68</v>
      </c>
      <c r="X1634" s="91" t="s">
        <v>69</v>
      </c>
      <c r="Y1634" s="92" t="s">
        <v>70</v>
      </c>
      <c r="Z1634" s="90" t="s">
        <v>68</v>
      </c>
    </row>
    <row r="1635" spans="2:26" x14ac:dyDescent="0.3">
      <c r="B1635" s="5">
        <f>B1634+50</f>
        <v>15100</v>
      </c>
      <c r="C1635" s="51">
        <v>74.45</v>
      </c>
      <c r="D1635" s="7">
        <v>73.5</v>
      </c>
      <c r="E1635" s="16">
        <f>E1636-(F1636-E1636)</f>
        <v>58.074999999999989</v>
      </c>
      <c r="F1635" s="7">
        <f t="shared" si="107"/>
        <v>15173.5</v>
      </c>
      <c r="G1635" s="16">
        <f>G1636+(G1636-F1636)</f>
        <v>124.375</v>
      </c>
      <c r="H1635" s="7">
        <v>61.1</v>
      </c>
      <c r="I1635" s="7">
        <v>51.15</v>
      </c>
      <c r="J1635" s="7">
        <v>42.05</v>
      </c>
      <c r="K1635" s="7">
        <v>34.950000000000003</v>
      </c>
      <c r="L1635" s="7"/>
      <c r="M1635" s="7">
        <v>31.5</v>
      </c>
      <c r="N1635" s="17"/>
      <c r="P1635" s="17"/>
      <c r="Q1635" s="5" t="s">
        <v>112</v>
      </c>
      <c r="R1635" s="30">
        <f>SUM(Q1631:Q1634)</f>
        <v>0</v>
      </c>
      <c r="S1635" s="5">
        <f>SUM(S1631:S1634)</f>
        <v>0</v>
      </c>
      <c r="T1635" s="5" t="e">
        <f>(R1635/S1635)*2</f>
        <v>#DIV/0!</v>
      </c>
      <c r="U1635" s="100"/>
      <c r="V1635" s="17"/>
      <c r="W1635" s="66">
        <v>0.41597222222222219</v>
      </c>
      <c r="X1635" s="7">
        <v>74.45</v>
      </c>
      <c r="Y1635" s="7">
        <v>90.7</v>
      </c>
      <c r="Z1635" s="66">
        <v>0.41597222222222219</v>
      </c>
    </row>
    <row r="1636" spans="2:26" x14ac:dyDescent="0.3">
      <c r="B1636" s="17"/>
      <c r="C1636" s="17"/>
      <c r="D1636" s="16"/>
      <c r="E1636" s="16">
        <f>F1636-(G1636-F1636)</f>
        <v>74.649999999999991</v>
      </c>
      <c r="F1636" s="16">
        <f>AVERAGE(C1634,C1644)</f>
        <v>91.224999999999994</v>
      </c>
      <c r="G1636" s="16">
        <f>AVERAGE(C1633,C1643)</f>
        <v>107.8</v>
      </c>
      <c r="H1636" s="76">
        <v>49</v>
      </c>
      <c r="I1636" s="76">
        <v>41.6</v>
      </c>
      <c r="J1636" s="76">
        <v>34.299999999999997</v>
      </c>
      <c r="K1636" s="76">
        <v>28.8</v>
      </c>
      <c r="L1636" s="17"/>
      <c r="M1636" s="17"/>
      <c r="N1636" s="17"/>
      <c r="P1636" s="17"/>
      <c r="Q1636" s="17"/>
      <c r="R1636" s="17"/>
      <c r="S1636" s="17"/>
      <c r="T1636" s="17"/>
      <c r="U1636" s="17"/>
      <c r="V1636" s="16"/>
      <c r="W1636" s="66">
        <v>0.4368055555555555</v>
      </c>
      <c r="X1636" s="7">
        <v>65.95</v>
      </c>
      <c r="Y1636" s="7">
        <v>93.9</v>
      </c>
      <c r="Z1636" s="66">
        <v>0.4368055555555555</v>
      </c>
    </row>
    <row r="1637" spans="2:26" x14ac:dyDescent="0.3">
      <c r="B1637" s="17"/>
      <c r="C1637" s="95">
        <v>44280</v>
      </c>
      <c r="D1637" s="17"/>
      <c r="F1637" s="16"/>
      <c r="H1637" s="66">
        <v>0.4375</v>
      </c>
      <c r="I1637" s="66">
        <v>4.8611111111111112E-2</v>
      </c>
      <c r="J1637" s="66">
        <v>5.347222222222222E-2</v>
      </c>
      <c r="K1637" s="66">
        <v>6.458333333333334E-2</v>
      </c>
      <c r="L1637" s="66"/>
      <c r="M1637" s="66">
        <v>0.13541666666666666</v>
      </c>
      <c r="P1637" s="17"/>
      <c r="Q1637" s="7">
        <f>(T1637-R1637)*S1637</f>
        <v>1271.2500000000002</v>
      </c>
      <c r="R1637" s="18">
        <v>98.55</v>
      </c>
      <c r="S1637" s="5">
        <v>75</v>
      </c>
      <c r="T1637" s="7">
        <v>115.5</v>
      </c>
      <c r="U1637" s="70"/>
      <c r="V1637" s="17"/>
      <c r="W1637" s="66">
        <v>0.45763888888888887</v>
      </c>
      <c r="X1637" s="7">
        <v>62.35</v>
      </c>
      <c r="Y1637" s="7">
        <v>97</v>
      </c>
      <c r="Z1637" s="66">
        <v>0.45763888888888887</v>
      </c>
    </row>
    <row r="1638" spans="2:26" x14ac:dyDescent="0.3">
      <c r="B1638" s="90" t="s">
        <v>68</v>
      </c>
      <c r="C1638" s="66">
        <v>0.41666666666666669</v>
      </c>
      <c r="D1638" s="66">
        <v>0.38611111111111113</v>
      </c>
      <c r="E1638" s="16">
        <f>F1638-(G1638-F1638)</f>
        <v>80.275000000000006</v>
      </c>
      <c r="F1638" s="16">
        <f>AVERAGE(C1643,C1634)</f>
        <v>97.9</v>
      </c>
      <c r="G1638" s="16">
        <f>AVERAGE(C1642,C1633)</f>
        <v>115.52500000000001</v>
      </c>
      <c r="H1638" s="23">
        <v>97.9</v>
      </c>
      <c r="I1638" s="23">
        <v>115.5</v>
      </c>
      <c r="J1638" s="7">
        <v>14710.95</v>
      </c>
      <c r="K1638" s="7">
        <v>14624.5</v>
      </c>
      <c r="L1638" s="7"/>
      <c r="M1638" s="7">
        <v>14604.25</v>
      </c>
      <c r="P1638" s="17"/>
      <c r="Q1638" s="7">
        <f>(T1638-R1638)*S1638</f>
        <v>7008.75</v>
      </c>
      <c r="R1638" s="18">
        <v>98.55</v>
      </c>
      <c r="S1638" s="5">
        <v>75</v>
      </c>
      <c r="T1638" s="7">
        <v>192</v>
      </c>
      <c r="U1638" s="70"/>
      <c r="V1638" s="17"/>
      <c r="W1638" s="66">
        <v>0.47847222222222219</v>
      </c>
      <c r="X1638" s="7">
        <v>60</v>
      </c>
      <c r="Y1638" s="7">
        <v>100.85</v>
      </c>
      <c r="Z1638" s="66">
        <v>0.47847222222222219</v>
      </c>
    </row>
    <row r="1639" spans="2:26" x14ac:dyDescent="0.3">
      <c r="B1639" s="5">
        <f>B1640+50</f>
        <v>14850</v>
      </c>
      <c r="C1639" s="7">
        <v>174.95</v>
      </c>
      <c r="D1639" s="7">
        <v>160.4</v>
      </c>
      <c r="E1639" s="16">
        <f>E1638-(F1638-E1638)</f>
        <v>62.650000000000006</v>
      </c>
      <c r="F1639" s="7">
        <f t="shared" ref="F1639:F1644" si="108">B1639-D1639</f>
        <v>14689.6</v>
      </c>
      <c r="G1639" s="16">
        <f>G1638+(G1638-F1638)</f>
        <v>133.15</v>
      </c>
      <c r="H1639" s="7">
        <v>192</v>
      </c>
      <c r="I1639" s="7">
        <v>219.5</v>
      </c>
      <c r="J1639" s="7">
        <v>256.39999999999998</v>
      </c>
      <c r="K1639" s="7">
        <v>323.25</v>
      </c>
      <c r="L1639" s="7"/>
      <c r="M1639" s="7">
        <v>325</v>
      </c>
      <c r="N1639" s="17"/>
      <c r="P1639" s="17"/>
      <c r="Q1639" s="7">
        <f t="shared" ref="Q1639:Q1640" si="109">(T1639-R1639)*S1639</f>
        <v>0</v>
      </c>
      <c r="R1639" s="18"/>
      <c r="S1639" s="99"/>
      <c r="T1639" s="18"/>
      <c r="U1639" s="101"/>
      <c r="V1639" s="16"/>
      <c r="W1639" s="66">
        <v>0.4993055555555555</v>
      </c>
      <c r="X1639" s="7">
        <v>63.2</v>
      </c>
      <c r="Y1639" s="7">
        <v>91.15</v>
      </c>
      <c r="Z1639" s="66">
        <v>0.4993055555555555</v>
      </c>
    </row>
    <row r="1640" spans="2:26" x14ac:dyDescent="0.3">
      <c r="B1640" s="5">
        <f>B1641+50</f>
        <v>14800</v>
      </c>
      <c r="C1640" s="7">
        <v>154.75</v>
      </c>
      <c r="D1640" s="7">
        <v>139.5</v>
      </c>
      <c r="E1640" s="16"/>
      <c r="F1640" s="7">
        <f t="shared" si="108"/>
        <v>14660.5</v>
      </c>
      <c r="G1640" s="17"/>
      <c r="H1640" s="7">
        <v>168.05</v>
      </c>
      <c r="I1640" s="7">
        <v>194.5</v>
      </c>
      <c r="J1640" s="7">
        <v>228.25</v>
      </c>
      <c r="K1640" s="7">
        <v>286.7</v>
      </c>
      <c r="L1640" s="7"/>
      <c r="M1640" s="7">
        <v>292</v>
      </c>
      <c r="N1640" s="17"/>
      <c r="P1640" s="17"/>
      <c r="Q1640" s="7">
        <f t="shared" si="109"/>
        <v>0</v>
      </c>
      <c r="R1640" s="18"/>
      <c r="S1640" s="99"/>
      <c r="T1640" s="18"/>
      <c r="U1640" s="101"/>
      <c r="V1640" s="16"/>
      <c r="W1640" s="66">
        <v>0.52013888888888882</v>
      </c>
      <c r="X1640" s="7">
        <v>65.95</v>
      </c>
      <c r="Y1640" s="7">
        <v>87.85</v>
      </c>
      <c r="Z1640" s="66">
        <v>0.52013888888888882</v>
      </c>
    </row>
    <row r="1641" spans="2:26" x14ac:dyDescent="0.3">
      <c r="B1641" s="97">
        <v>14750</v>
      </c>
      <c r="C1641" s="7">
        <v>135.19999999999999</v>
      </c>
      <c r="D1641" s="7">
        <v>122.25</v>
      </c>
      <c r="E1641" s="16"/>
      <c r="F1641" s="7">
        <f t="shared" si="108"/>
        <v>14627.75</v>
      </c>
      <c r="G1641" s="17"/>
      <c r="H1641" s="7">
        <v>148.80000000000001</v>
      </c>
      <c r="I1641" s="7">
        <v>171.95</v>
      </c>
      <c r="J1641" s="7">
        <v>200.85</v>
      </c>
      <c r="K1641" s="7">
        <v>257.5</v>
      </c>
      <c r="L1641" s="7"/>
      <c r="M1641" s="7">
        <v>258.55</v>
      </c>
      <c r="N1641" s="17"/>
      <c r="P1641" s="17"/>
      <c r="Q1641" s="5" t="s">
        <v>112</v>
      </c>
      <c r="R1641" s="30">
        <f>SUM(Q1637:Q1640)</f>
        <v>8280</v>
      </c>
      <c r="S1641" s="5">
        <f>SUM(S1637:S1640)</f>
        <v>150</v>
      </c>
      <c r="T1641" s="5">
        <f>(R1641/S1641)*2</f>
        <v>110.4</v>
      </c>
      <c r="U1641" s="100"/>
      <c r="V1641" s="17"/>
      <c r="W1641" s="66">
        <v>0.54097222222222219</v>
      </c>
      <c r="X1641" s="7">
        <v>56.45</v>
      </c>
      <c r="Y1641" s="7">
        <v>100.35</v>
      </c>
      <c r="Z1641" s="66">
        <v>0.54097222222222219</v>
      </c>
    </row>
    <row r="1642" spans="2:26" x14ac:dyDescent="0.3">
      <c r="B1642" s="14">
        <f>B1641-50</f>
        <v>14700</v>
      </c>
      <c r="C1642" s="7">
        <v>119.5</v>
      </c>
      <c r="D1642" s="23">
        <v>106.8</v>
      </c>
      <c r="E1642" s="16"/>
      <c r="F1642" s="98">
        <f t="shared" si="108"/>
        <v>14593.2</v>
      </c>
      <c r="G1642" s="17"/>
      <c r="H1642" s="7">
        <v>129</v>
      </c>
      <c r="I1642" s="7">
        <v>151</v>
      </c>
      <c r="J1642" s="7">
        <v>179.65</v>
      </c>
      <c r="K1642" s="7">
        <v>230.7</v>
      </c>
      <c r="L1642" s="7"/>
      <c r="M1642" s="7">
        <v>230.1</v>
      </c>
      <c r="N1642" s="17"/>
      <c r="P1642" s="17"/>
      <c r="Q1642" s="17"/>
      <c r="R1642" s="17"/>
      <c r="S1642" s="17"/>
      <c r="T1642" s="17"/>
      <c r="U1642" s="17"/>
      <c r="V1642" s="17"/>
      <c r="W1642" s="66">
        <v>6.1805555555555558E-2</v>
      </c>
      <c r="X1642" s="7">
        <v>39.700000000000003</v>
      </c>
      <c r="Y1642" s="7">
        <v>165.7</v>
      </c>
      <c r="Z1642" s="66">
        <v>6.1805555555555558E-2</v>
      </c>
    </row>
    <row r="1643" spans="2:26" x14ac:dyDescent="0.3">
      <c r="B1643" s="99">
        <f>B1642-50</f>
        <v>14650</v>
      </c>
      <c r="C1643" s="7">
        <v>104.05</v>
      </c>
      <c r="D1643" s="7">
        <v>93.4</v>
      </c>
      <c r="E1643" s="16"/>
      <c r="F1643" s="7">
        <f t="shared" si="108"/>
        <v>14556.6</v>
      </c>
      <c r="G1643" s="17"/>
      <c r="H1643" s="7">
        <v>113</v>
      </c>
      <c r="I1643" s="7">
        <v>132.4</v>
      </c>
      <c r="J1643" s="7">
        <v>157.75</v>
      </c>
      <c r="K1643" s="7">
        <v>207</v>
      </c>
      <c r="L1643" s="7"/>
      <c r="M1643" s="7">
        <v>203.95</v>
      </c>
      <c r="N1643" s="17"/>
      <c r="P1643" s="17"/>
      <c r="Q1643" s="17"/>
      <c r="R1643" s="17"/>
      <c r="S1643" s="17"/>
      <c r="T1643" s="17"/>
      <c r="U1643" s="17"/>
      <c r="V1643" s="17"/>
      <c r="W1643" s="66">
        <v>8.2638888888888887E-2</v>
      </c>
      <c r="X1643" s="7">
        <v>34.200000000000003</v>
      </c>
      <c r="Y1643" s="7">
        <v>197.65</v>
      </c>
      <c r="Z1643" s="66">
        <v>8.2638888888888887E-2</v>
      </c>
    </row>
    <row r="1644" spans="2:26" x14ac:dyDescent="0.3">
      <c r="B1644" s="5">
        <f>B1643-50</f>
        <v>14600</v>
      </c>
      <c r="C1644" s="51">
        <v>90.7</v>
      </c>
      <c r="D1644" s="7">
        <v>82.05</v>
      </c>
      <c r="E1644" s="16"/>
      <c r="F1644" s="7">
        <f t="shared" si="108"/>
        <v>14517.95</v>
      </c>
      <c r="G1644" s="17"/>
      <c r="H1644" s="7">
        <v>98.55</v>
      </c>
      <c r="I1644" s="7">
        <v>115.35</v>
      </c>
      <c r="J1644" s="7">
        <v>138.4</v>
      </c>
      <c r="K1644" s="7">
        <v>183.55</v>
      </c>
      <c r="L1644" s="7"/>
      <c r="M1644" s="7">
        <v>179.6</v>
      </c>
      <c r="N1644" s="17"/>
      <c r="P1644" s="77">
        <f>SUM(R1635,R1641)</f>
        <v>8280</v>
      </c>
      <c r="Q1644" s="92" t="s">
        <v>72</v>
      </c>
      <c r="R1644" s="17"/>
      <c r="S1644" s="92" t="s">
        <v>73</v>
      </c>
      <c r="T1644" s="7">
        <f>((X1636+Y1636)-(X1644+Y1644))</f>
        <v>16.950000000000017</v>
      </c>
      <c r="U1644" s="7"/>
      <c r="V1644" s="98">
        <f>T1644*M1625</f>
        <v>2542.5000000000027</v>
      </c>
      <c r="W1644" s="66">
        <v>4.9999999999999996E-2</v>
      </c>
      <c r="X1644" s="7">
        <v>49</v>
      </c>
      <c r="Y1644" s="23">
        <v>93.9</v>
      </c>
      <c r="Z1644" s="66">
        <v>0.4368055555555555</v>
      </c>
    </row>
    <row r="1646" spans="2:26" x14ac:dyDescent="0.3">
      <c r="H1646" s="101"/>
    </row>
    <row r="1647" spans="2:26" x14ac:dyDescent="0.3">
      <c r="H1647" s="101"/>
    </row>
    <row r="1656" spans="2:26" x14ac:dyDescent="0.3">
      <c r="B1656" s="40"/>
      <c r="C1656" s="50">
        <f>AVERAGE(B1657,D1656)</f>
        <v>14545.6</v>
      </c>
      <c r="D1656" s="51">
        <f>B1657+E1657</f>
        <v>14615.6</v>
      </c>
      <c r="E1656" s="50">
        <f>AVERAGE(D1656,F1656)</f>
        <v>14685.6</v>
      </c>
      <c r="F1656" s="50">
        <f>D1656+E1657</f>
        <v>14755.6</v>
      </c>
      <c r="G1656" s="17"/>
      <c r="H1656" s="88" t="str">
        <f>IF((C1665-D1665)&gt;(C1674-D1674),"LONG",IF(C1674&gt;D1672,"LONG","SHORT"))</f>
        <v>LONG</v>
      </c>
      <c r="I1656" s="104">
        <v>14371</v>
      </c>
      <c r="J1656" s="105" t="s">
        <v>122</v>
      </c>
      <c r="K1656" s="106">
        <v>14519</v>
      </c>
      <c r="L1656" s="17"/>
      <c r="M1656" s="94">
        <f>(146000)/4</f>
        <v>36500</v>
      </c>
      <c r="N1656" s="17"/>
      <c r="P1656" s="16"/>
      <c r="Q1656" s="149" t="s">
        <v>71</v>
      </c>
      <c r="R1656" s="149"/>
      <c r="S1656" s="149" t="s">
        <v>37</v>
      </c>
      <c r="T1656" s="149"/>
      <c r="U1656" s="89"/>
      <c r="V1656" s="17"/>
      <c r="W1656" s="90" t="s">
        <v>68</v>
      </c>
      <c r="X1656" s="91" t="s">
        <v>69</v>
      </c>
      <c r="Y1656" s="92" t="s">
        <v>70</v>
      </c>
      <c r="Z1656" s="90" t="s">
        <v>68</v>
      </c>
    </row>
    <row r="1657" spans="2:26" x14ac:dyDescent="0.3">
      <c r="B1657" s="50">
        <v>14475.6</v>
      </c>
      <c r="C1657" s="40"/>
      <c r="D1657" s="58"/>
      <c r="E1657" s="59">
        <f>ROUND((((B1657*F1657%)/4)/10),0)*10</f>
        <v>140</v>
      </c>
      <c r="F1657" s="51">
        <f>(100/B1657)*(F1666-F1675)</f>
        <v>3.9290253944568794</v>
      </c>
      <c r="G1657" s="17"/>
      <c r="H1657" s="93">
        <v>0.39166666666666666</v>
      </c>
      <c r="I1657" s="93">
        <v>0.39861111111111108</v>
      </c>
      <c r="J1657" s="93">
        <v>0.4055555555555555</v>
      </c>
      <c r="K1657" s="93">
        <v>0.41250000000000003</v>
      </c>
      <c r="L1657" s="17"/>
      <c r="N1657" s="17"/>
      <c r="P1657" s="16"/>
      <c r="Q1657" s="51">
        <f>R1657-(S1657-R1657)</f>
        <v>14093.7</v>
      </c>
      <c r="R1657" s="51">
        <v>14475.6</v>
      </c>
      <c r="S1657" s="51">
        <v>14857.5</v>
      </c>
      <c r="T1657" s="51">
        <f>S1657+(S1657-R1657)</f>
        <v>15239.4</v>
      </c>
      <c r="U1657" s="62"/>
      <c r="V1657" s="17"/>
      <c r="W1657" s="66">
        <v>0.41597222222222219</v>
      </c>
      <c r="X1657" s="7">
        <v>158.4</v>
      </c>
      <c r="Y1657" s="7">
        <v>150.19999999999999</v>
      </c>
      <c r="Z1657" s="66">
        <v>0.41597222222222219</v>
      </c>
    </row>
    <row r="1658" spans="2:26" x14ac:dyDescent="0.3">
      <c r="B1658" s="40"/>
      <c r="C1658" s="50">
        <f>AVERAGE(B1657,D1658)</f>
        <v>14405.6</v>
      </c>
      <c r="D1658" s="51">
        <f>B1657-E1657</f>
        <v>14335.6</v>
      </c>
      <c r="E1658" s="50">
        <f>AVERAGE(D1658,F1658)</f>
        <v>14265.6</v>
      </c>
      <c r="F1658" s="50">
        <f>D1658-E1657</f>
        <v>14195.6</v>
      </c>
      <c r="G1658" s="17"/>
      <c r="H1658" s="51">
        <v>14445</v>
      </c>
      <c r="I1658" s="51">
        <v>14407.6</v>
      </c>
      <c r="J1658" s="51">
        <v>14426.8</v>
      </c>
      <c r="K1658" s="51">
        <v>14474.1</v>
      </c>
      <c r="L1658" s="17"/>
      <c r="M1658" s="94">
        <f>ROUND((M1656/91)/225,0)*75</f>
        <v>150</v>
      </c>
      <c r="N1658" s="17"/>
      <c r="P1658" s="16"/>
      <c r="Q1658" s="17"/>
      <c r="R1658" s="17"/>
      <c r="S1658" s="17"/>
      <c r="T1658" s="16"/>
      <c r="U1658" s="16"/>
      <c r="V1658" s="17"/>
      <c r="W1658" s="66">
        <v>0.4368055555555555</v>
      </c>
      <c r="X1658" s="7">
        <v>186</v>
      </c>
      <c r="Y1658" s="7">
        <v>126.5</v>
      </c>
      <c r="Z1658" s="66">
        <v>0.4368055555555555</v>
      </c>
    </row>
    <row r="1659" spans="2:26" x14ac:dyDescent="0.3">
      <c r="B1659" s="17"/>
      <c r="C1659" s="17"/>
      <c r="D1659" s="17"/>
      <c r="E1659" s="17"/>
      <c r="F1659" s="16"/>
      <c r="G1659" s="16"/>
      <c r="H1659" s="17"/>
      <c r="I1659" s="17"/>
      <c r="J1659" s="17"/>
      <c r="K1659" s="16"/>
      <c r="L1659" s="17"/>
      <c r="M1659" s="17"/>
      <c r="N1659" s="17"/>
      <c r="P1659" s="16"/>
      <c r="Q1659" s="17"/>
      <c r="R1659" s="17"/>
      <c r="S1659" s="17"/>
      <c r="T1659" s="17"/>
      <c r="U1659" s="17"/>
      <c r="V1659" s="17"/>
      <c r="W1659" s="66">
        <v>0.45763888888888887</v>
      </c>
      <c r="X1659" s="7">
        <v>222.85</v>
      </c>
      <c r="Y1659" s="7">
        <v>107.55</v>
      </c>
      <c r="Z1659" s="66">
        <v>0.45763888888888887</v>
      </c>
    </row>
    <row r="1660" spans="2:26" x14ac:dyDescent="0.3">
      <c r="B1660" s="16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P1660" s="16"/>
      <c r="Q1660" s="17"/>
      <c r="R1660" s="17"/>
      <c r="S1660" s="17"/>
      <c r="T1660" s="17"/>
      <c r="U1660" s="17"/>
      <c r="V1660" s="17"/>
      <c r="W1660" s="66">
        <v>0.47847222222222219</v>
      </c>
      <c r="X1660" s="7">
        <v>216.6</v>
      </c>
      <c r="Y1660" s="7">
        <v>114.25</v>
      </c>
      <c r="Z1660" s="66">
        <v>0.47847222222222219</v>
      </c>
    </row>
    <row r="1661" spans="2:26" x14ac:dyDescent="0.3">
      <c r="B1661" s="17"/>
      <c r="C1661" s="95">
        <v>44274</v>
      </c>
      <c r="D1661" s="17"/>
      <c r="E1661" s="17"/>
      <c r="F1661" s="7">
        <f>AVERAGE(F1663,F1672)</f>
        <v>14462.15</v>
      </c>
      <c r="G1661" s="96"/>
      <c r="H1661" s="66">
        <v>0.43333333333333335</v>
      </c>
      <c r="I1661" s="66">
        <v>0.45</v>
      </c>
      <c r="J1661" s="66">
        <v>0.46180555555555558</v>
      </c>
      <c r="K1661" s="66"/>
      <c r="L1661" s="66"/>
      <c r="M1661" s="66">
        <v>0.13541666666666666</v>
      </c>
      <c r="N1661" s="17"/>
      <c r="P1661" s="16"/>
      <c r="Q1661" s="17"/>
      <c r="R1661" s="17"/>
      <c r="S1661" s="17"/>
      <c r="T1661" s="17"/>
      <c r="U1661" s="17"/>
      <c r="V1661" s="17"/>
      <c r="W1661" s="66">
        <v>0.4993055555555555</v>
      </c>
      <c r="X1661" s="7">
        <v>209.2</v>
      </c>
      <c r="Y1661" s="7">
        <v>112.5</v>
      </c>
      <c r="Z1661" s="66">
        <v>0.4993055555555555</v>
      </c>
    </row>
    <row r="1662" spans="2:26" x14ac:dyDescent="0.3">
      <c r="B1662" s="90" t="s">
        <v>68</v>
      </c>
      <c r="C1662" s="66">
        <v>0.41666666666666669</v>
      </c>
      <c r="D1662" s="66">
        <v>0.39652777777777781</v>
      </c>
      <c r="E1662" s="17"/>
      <c r="F1662" s="17"/>
      <c r="G1662" s="17"/>
      <c r="H1662" s="23">
        <v>109.4</v>
      </c>
      <c r="I1662" s="23">
        <v>126.6</v>
      </c>
      <c r="J1662" s="7">
        <v>14637.3</v>
      </c>
      <c r="K1662" s="7"/>
      <c r="L1662" s="7"/>
      <c r="M1662" s="7">
        <v>14764.45</v>
      </c>
      <c r="N1662" s="17"/>
      <c r="P1662" s="16"/>
      <c r="Q1662" s="145" t="s">
        <v>72</v>
      </c>
      <c r="R1662" s="145"/>
      <c r="S1662" s="145"/>
      <c r="T1662" s="145"/>
      <c r="U1662" s="83"/>
      <c r="V1662" s="17"/>
      <c r="W1662" s="66">
        <v>0.52013888888888882</v>
      </c>
      <c r="X1662" s="7">
        <v>191.7</v>
      </c>
      <c r="Y1662" s="7">
        <v>119.75</v>
      </c>
      <c r="Z1662" s="66">
        <v>0.52013888888888882</v>
      </c>
    </row>
    <row r="1663" spans="2:26" x14ac:dyDescent="0.3">
      <c r="B1663" s="5">
        <f>B1664-50</f>
        <v>14500</v>
      </c>
      <c r="C1663" s="7">
        <v>184.05</v>
      </c>
      <c r="D1663" s="7">
        <v>154</v>
      </c>
      <c r="E1663" s="16"/>
      <c r="F1663" s="7">
        <f t="shared" ref="F1663:F1668" si="110">B1663+D1663</f>
        <v>14654</v>
      </c>
      <c r="G1663" s="17"/>
      <c r="H1663" s="7">
        <v>217.25</v>
      </c>
      <c r="I1663" s="7">
        <v>232.4</v>
      </c>
      <c r="J1663" s="7">
        <v>280.05</v>
      </c>
      <c r="K1663" s="7"/>
      <c r="L1663" s="7"/>
      <c r="M1663" s="7">
        <v>341.6</v>
      </c>
      <c r="N1663" s="17"/>
      <c r="P1663" s="17"/>
      <c r="Q1663" s="26"/>
      <c r="R1663" s="34" t="s">
        <v>2</v>
      </c>
      <c r="S1663" s="34" t="s">
        <v>111</v>
      </c>
      <c r="T1663" s="34" t="s">
        <v>1</v>
      </c>
      <c r="U1663" s="84"/>
      <c r="V1663" s="17"/>
      <c r="W1663" s="66">
        <v>0.54097222222222219</v>
      </c>
      <c r="X1663" s="7">
        <v>198.65</v>
      </c>
      <c r="Y1663" s="7">
        <v>113.45</v>
      </c>
      <c r="Z1663" s="66">
        <v>0.54097222222222219</v>
      </c>
    </row>
    <row r="1664" spans="2:26" x14ac:dyDescent="0.3">
      <c r="B1664" s="5">
        <f>B1665-50</f>
        <v>14550</v>
      </c>
      <c r="C1664" s="7">
        <v>158.4</v>
      </c>
      <c r="D1664" s="7">
        <v>132.65</v>
      </c>
      <c r="E1664" s="16"/>
      <c r="F1664" s="7">
        <f t="shared" si="110"/>
        <v>14682.65</v>
      </c>
      <c r="G1664" s="17"/>
      <c r="H1664" s="51">
        <v>189</v>
      </c>
      <c r="I1664" s="7">
        <v>203.35</v>
      </c>
      <c r="J1664" s="7">
        <v>248.5</v>
      </c>
      <c r="K1664" s="7"/>
      <c r="L1664" s="7"/>
      <c r="M1664" s="7">
        <v>305</v>
      </c>
      <c r="P1664" s="17"/>
      <c r="Q1664" s="7">
        <f>(T1664-R1664)*S1664</f>
        <v>918.75</v>
      </c>
      <c r="R1664" s="7">
        <v>114.35</v>
      </c>
      <c r="S1664" s="5">
        <v>75</v>
      </c>
      <c r="T1664" s="7">
        <v>126.6</v>
      </c>
      <c r="U1664" s="70"/>
      <c r="V1664" s="17"/>
      <c r="W1664" s="66">
        <v>6.1805555555555558E-2</v>
      </c>
      <c r="X1664" s="7">
        <v>222.95</v>
      </c>
      <c r="Y1664" s="7">
        <v>103.4</v>
      </c>
      <c r="Z1664" s="66">
        <v>6.1805555555555558E-2</v>
      </c>
    </row>
    <row r="1665" spans="2:26" x14ac:dyDescent="0.3">
      <c r="B1665" s="97">
        <v>14600</v>
      </c>
      <c r="C1665" s="7">
        <v>134.55000000000001</v>
      </c>
      <c r="D1665" s="7">
        <v>112.55</v>
      </c>
      <c r="E1665" s="16"/>
      <c r="F1665" s="7">
        <f t="shared" si="110"/>
        <v>14712.55</v>
      </c>
      <c r="G1665" s="17"/>
      <c r="H1665" s="7">
        <v>160.6</v>
      </c>
      <c r="I1665" s="7">
        <v>174.8</v>
      </c>
      <c r="J1665" s="7">
        <v>217.95</v>
      </c>
      <c r="K1665" s="7"/>
      <c r="L1665" s="7"/>
      <c r="M1665" s="7">
        <v>265.3</v>
      </c>
      <c r="P1665" s="17"/>
      <c r="Q1665" s="7">
        <f>(T1665-R1665)*S1665</f>
        <v>6390.0000000000009</v>
      </c>
      <c r="R1665" s="7">
        <v>114.35</v>
      </c>
      <c r="S1665" s="5">
        <v>75</v>
      </c>
      <c r="T1665" s="7">
        <v>199.55</v>
      </c>
      <c r="U1665" s="70"/>
      <c r="V1665" s="17"/>
      <c r="W1665" s="66">
        <v>8.2638888888888887E-2</v>
      </c>
      <c r="X1665" s="7">
        <v>274.39999999999998</v>
      </c>
      <c r="Y1665" s="7">
        <v>82.35</v>
      </c>
      <c r="Z1665" s="66">
        <v>8.2638888888888887E-2</v>
      </c>
    </row>
    <row r="1666" spans="2:26" x14ac:dyDescent="0.3">
      <c r="B1666" s="5">
        <f>B1665+50</f>
        <v>14650</v>
      </c>
      <c r="C1666" s="7">
        <v>113.3</v>
      </c>
      <c r="D1666" s="23">
        <v>95</v>
      </c>
      <c r="E1666" s="16"/>
      <c r="F1666" s="98">
        <f t="shared" si="110"/>
        <v>14745</v>
      </c>
      <c r="G1666" s="17"/>
      <c r="H1666" s="7">
        <v>137.25</v>
      </c>
      <c r="I1666" s="7">
        <v>149.5</v>
      </c>
      <c r="J1666" s="7">
        <v>190</v>
      </c>
      <c r="K1666" s="7"/>
      <c r="L1666" s="7"/>
      <c r="M1666" s="7">
        <v>231.75</v>
      </c>
      <c r="N1666" s="17"/>
      <c r="P1666" s="17"/>
      <c r="Q1666" s="7">
        <f>(T1666-R1666)*S1666</f>
        <v>0</v>
      </c>
      <c r="R1666" s="7"/>
      <c r="S1666" s="5"/>
      <c r="T1666" s="7"/>
      <c r="U1666" s="70"/>
      <c r="V1666" s="17"/>
      <c r="W1666" s="17"/>
      <c r="X1666" s="17"/>
      <c r="Y1666" s="17"/>
      <c r="Z1666" s="17"/>
    </row>
    <row r="1667" spans="2:26" x14ac:dyDescent="0.3">
      <c r="B1667" s="99">
        <f>B1666+50</f>
        <v>14700</v>
      </c>
      <c r="C1667" s="51">
        <v>94.25</v>
      </c>
      <c r="D1667" s="7">
        <v>79.099999999999994</v>
      </c>
      <c r="E1667" s="16"/>
      <c r="F1667" s="7">
        <f t="shared" si="110"/>
        <v>14779.1</v>
      </c>
      <c r="G1667" s="17"/>
      <c r="H1667" s="7">
        <v>114.35</v>
      </c>
      <c r="I1667" s="7">
        <v>125.85</v>
      </c>
      <c r="J1667" s="7">
        <v>164</v>
      </c>
      <c r="K1667" s="7"/>
      <c r="L1667" s="7"/>
      <c r="M1667" s="7">
        <v>199.55</v>
      </c>
      <c r="N1667" s="17"/>
      <c r="P1667" s="17"/>
      <c r="Q1667" s="7">
        <f>(T1667-R1667)*S1667</f>
        <v>0</v>
      </c>
      <c r="R1667" s="7"/>
      <c r="S1667" s="5"/>
      <c r="T1667" s="7"/>
      <c r="U1667" s="70"/>
      <c r="V1667" s="17"/>
      <c r="W1667" s="90" t="s">
        <v>68</v>
      </c>
      <c r="X1667" s="91" t="s">
        <v>69</v>
      </c>
      <c r="Y1667" s="92" t="s">
        <v>70</v>
      </c>
      <c r="Z1667" s="90" t="s">
        <v>68</v>
      </c>
    </row>
    <row r="1668" spans="2:26" x14ac:dyDescent="0.3">
      <c r="B1668" s="5">
        <f>B1667+50</f>
        <v>14750</v>
      </c>
      <c r="C1668" s="7">
        <v>77.8</v>
      </c>
      <c r="D1668" s="7">
        <v>65.849999999999994</v>
      </c>
      <c r="E1668" s="16">
        <f>E1669-(F1669-E1669)</f>
        <v>74.924999999999969</v>
      </c>
      <c r="F1668" s="7">
        <f t="shared" si="110"/>
        <v>14815.85</v>
      </c>
      <c r="G1668" s="16">
        <f>G1669+(G1669-F1669)</f>
        <v>143.92500000000001</v>
      </c>
      <c r="H1668" s="7">
        <v>93.5</v>
      </c>
      <c r="I1668" s="7">
        <v>105.15</v>
      </c>
      <c r="J1668" s="7">
        <v>140.69999999999999</v>
      </c>
      <c r="K1668" s="7"/>
      <c r="L1668" s="7"/>
      <c r="M1668" s="7">
        <v>171</v>
      </c>
      <c r="N1668" s="17"/>
      <c r="P1668" s="17"/>
      <c r="Q1668" s="5" t="s">
        <v>112</v>
      </c>
      <c r="R1668" s="30">
        <f>SUM(Q1664:Q1667)</f>
        <v>7308.7500000000009</v>
      </c>
      <c r="S1668" s="5">
        <f>SUM(S1664:S1667)</f>
        <v>150</v>
      </c>
      <c r="T1668" s="5">
        <f>(R1668/S1668)*2</f>
        <v>97.450000000000017</v>
      </c>
      <c r="U1668" s="100"/>
      <c r="V1668" s="17"/>
      <c r="W1668" s="66">
        <v>0.41597222222222219</v>
      </c>
      <c r="X1668" s="7">
        <v>94.25</v>
      </c>
      <c r="Y1668" s="7">
        <v>105.55</v>
      </c>
      <c r="Z1668" s="66">
        <v>0.41597222222222219</v>
      </c>
    </row>
    <row r="1669" spans="2:26" x14ac:dyDescent="0.3">
      <c r="B1669" s="17"/>
      <c r="C1669" s="17"/>
      <c r="D1669" s="16"/>
      <c r="E1669" s="16">
        <f>F1669-(G1669-F1669)</f>
        <v>92.174999999999983</v>
      </c>
      <c r="F1669" s="16">
        <f>AVERAGE(C1666,C1677)</f>
        <v>109.425</v>
      </c>
      <c r="G1669" s="16">
        <f>AVERAGE(C1665,C1676)</f>
        <v>126.67500000000001</v>
      </c>
      <c r="H1669" s="17"/>
      <c r="I1669" s="81"/>
      <c r="J1669" s="17"/>
      <c r="K1669" s="76"/>
      <c r="L1669" s="17"/>
      <c r="M1669" s="17"/>
      <c r="N1669" s="17"/>
      <c r="P1669" s="17"/>
      <c r="Q1669" s="17"/>
      <c r="R1669" s="17"/>
      <c r="S1669" s="17"/>
      <c r="T1669" s="17"/>
      <c r="U1669" s="17"/>
      <c r="V1669" s="16"/>
      <c r="W1669" s="66">
        <v>0.4368055555555555</v>
      </c>
      <c r="X1669" s="7">
        <v>112.65</v>
      </c>
      <c r="Y1669" s="7">
        <v>87.6</v>
      </c>
      <c r="Z1669" s="66">
        <v>0.4368055555555555</v>
      </c>
    </row>
    <row r="1670" spans="2:26" x14ac:dyDescent="0.3">
      <c r="B1670" s="17"/>
      <c r="C1670" s="95">
        <v>44280</v>
      </c>
      <c r="D1670" s="17"/>
      <c r="F1670" s="16"/>
      <c r="H1670" s="66">
        <v>0.43333333333333335</v>
      </c>
      <c r="I1670" s="66">
        <v>0.45</v>
      </c>
      <c r="J1670" s="66">
        <v>0.46180555555555558</v>
      </c>
      <c r="K1670" s="66"/>
      <c r="L1670" s="66"/>
      <c r="M1670" s="66">
        <v>0.13541666666666666</v>
      </c>
      <c r="N1670" s="17"/>
      <c r="P1670" s="17"/>
      <c r="Q1670" s="7">
        <f>(T1670-R1670)*S1670</f>
        <v>0</v>
      </c>
      <c r="R1670" s="18"/>
      <c r="S1670" s="5"/>
      <c r="T1670" s="7"/>
      <c r="U1670" s="70"/>
      <c r="V1670" s="17"/>
      <c r="W1670" s="66">
        <v>0.45763888888888887</v>
      </c>
      <c r="X1670" s="7">
        <v>143.80000000000001</v>
      </c>
      <c r="Y1670" s="7">
        <v>74.3</v>
      </c>
      <c r="Z1670" s="66">
        <v>0.45763888888888887</v>
      </c>
    </row>
    <row r="1671" spans="2:26" x14ac:dyDescent="0.3">
      <c r="B1671" s="90" t="s">
        <v>68</v>
      </c>
      <c r="C1671" s="66">
        <v>0.41666666666666669</v>
      </c>
      <c r="D1671" s="66">
        <v>0.38611111111111113</v>
      </c>
      <c r="E1671" s="16">
        <f>F1671-(G1671-F1671)</f>
        <v>97.699999999999989</v>
      </c>
      <c r="F1671" s="16">
        <f>AVERAGE(C1676,C1666)</f>
        <v>116.05</v>
      </c>
      <c r="G1671" s="16">
        <f>AVERAGE(C1675,C1665)</f>
        <v>134.4</v>
      </c>
      <c r="H1671" s="7">
        <v>14544.45</v>
      </c>
      <c r="I1671" s="7">
        <v>14574</v>
      </c>
      <c r="J1671" s="23">
        <v>65.95</v>
      </c>
      <c r="K1671" s="7"/>
      <c r="L1671" s="7"/>
      <c r="M1671" s="7">
        <v>14764.45</v>
      </c>
      <c r="N1671" s="17"/>
      <c r="P1671" s="17"/>
      <c r="Q1671" s="7">
        <f>(T1671-R1671)*S1671</f>
        <v>0</v>
      </c>
      <c r="R1671" s="18"/>
      <c r="S1671" s="5"/>
      <c r="T1671" s="7"/>
      <c r="U1671" s="70"/>
      <c r="V1671" s="17"/>
      <c r="W1671" s="66">
        <v>0.47847222222222219</v>
      </c>
      <c r="X1671" s="7">
        <v>137.55000000000001</v>
      </c>
      <c r="Y1671" s="7">
        <v>79.400000000000006</v>
      </c>
      <c r="Z1671" s="66">
        <v>0.47847222222222219</v>
      </c>
    </row>
    <row r="1672" spans="2:26" x14ac:dyDescent="0.3">
      <c r="B1672" s="5">
        <f>B1673+50</f>
        <v>14450</v>
      </c>
      <c r="C1672" s="7">
        <v>188</v>
      </c>
      <c r="D1672" s="7">
        <v>179.7</v>
      </c>
      <c r="E1672" s="16">
        <f>E1671-(F1671-E1671)</f>
        <v>79.34999999999998</v>
      </c>
      <c r="F1672" s="7">
        <f t="shared" ref="F1672:F1677" si="111">B1672-D1672</f>
        <v>14270.3</v>
      </c>
      <c r="G1672" s="16">
        <f>G1671+(G1671-F1671)</f>
        <v>152.75</v>
      </c>
      <c r="H1672" s="7">
        <v>153.80000000000001</v>
      </c>
      <c r="I1672" s="7">
        <v>141.9</v>
      </c>
      <c r="J1672" s="7">
        <v>125.8</v>
      </c>
      <c r="K1672" s="7"/>
      <c r="L1672" s="7"/>
      <c r="M1672" s="7">
        <v>69.75</v>
      </c>
      <c r="N1672" s="17"/>
      <c r="P1672" s="17"/>
      <c r="Q1672" s="7">
        <f t="shared" ref="Q1672:Q1673" si="112">(T1672-R1672)*S1672</f>
        <v>0</v>
      </c>
      <c r="R1672" s="18"/>
      <c r="S1672" s="99"/>
      <c r="T1672" s="18"/>
      <c r="U1672" s="101"/>
      <c r="V1672" s="16"/>
      <c r="W1672" s="66">
        <v>0.4993055555555555</v>
      </c>
      <c r="X1672" s="7">
        <v>131.1</v>
      </c>
      <c r="Y1672" s="7">
        <v>78.2</v>
      </c>
      <c r="Z1672" s="66">
        <v>0.4993055555555555</v>
      </c>
    </row>
    <row r="1673" spans="2:26" x14ac:dyDescent="0.3">
      <c r="B1673" s="5">
        <f>B1674+50</f>
        <v>14400</v>
      </c>
      <c r="C1673" s="7">
        <v>168.4</v>
      </c>
      <c r="D1673" s="7">
        <v>157.6</v>
      </c>
      <c r="E1673" s="16"/>
      <c r="F1673" s="7">
        <f t="shared" si="111"/>
        <v>14242.4</v>
      </c>
      <c r="G1673" s="17"/>
      <c r="H1673" s="7">
        <v>137.6</v>
      </c>
      <c r="I1673" s="7">
        <v>125.4</v>
      </c>
      <c r="J1673" s="7">
        <v>111.85</v>
      </c>
      <c r="K1673" s="7"/>
      <c r="L1673" s="7"/>
      <c r="M1673" s="7">
        <v>60.2</v>
      </c>
      <c r="N1673" s="17"/>
      <c r="P1673" s="17"/>
      <c r="Q1673" s="7">
        <f t="shared" si="112"/>
        <v>0</v>
      </c>
      <c r="R1673" s="18"/>
      <c r="S1673" s="99"/>
      <c r="T1673" s="18"/>
      <c r="U1673" s="101"/>
      <c r="V1673" s="16"/>
      <c r="W1673" s="66">
        <v>0.52013888888888882</v>
      </c>
      <c r="X1673" s="7">
        <v>118.05</v>
      </c>
      <c r="Y1673" s="7">
        <v>83</v>
      </c>
      <c r="Z1673" s="66">
        <v>0.52013888888888882</v>
      </c>
    </row>
    <row r="1674" spans="2:26" x14ac:dyDescent="0.3">
      <c r="B1674" s="97">
        <v>14350</v>
      </c>
      <c r="C1674" s="7">
        <v>150.19999999999999</v>
      </c>
      <c r="D1674" s="7">
        <v>140.94999999999999</v>
      </c>
      <c r="E1674" s="16"/>
      <c r="F1674" s="7">
        <f t="shared" si="111"/>
        <v>14209.05</v>
      </c>
      <c r="G1674" s="17"/>
      <c r="H1674" s="51">
        <v>121</v>
      </c>
      <c r="I1674" s="7">
        <v>110.75</v>
      </c>
      <c r="J1674" s="7">
        <v>99.05</v>
      </c>
      <c r="K1674" s="7"/>
      <c r="L1674" s="7"/>
      <c r="M1674" s="7">
        <v>52.25</v>
      </c>
      <c r="N1674" s="17"/>
      <c r="P1674" s="17"/>
      <c r="Q1674" s="5" t="s">
        <v>112</v>
      </c>
      <c r="R1674" s="30">
        <f>SUM(Q1670:Q1673)</f>
        <v>0</v>
      </c>
      <c r="S1674" s="5">
        <f>SUM(S1670:S1673)</f>
        <v>0</v>
      </c>
      <c r="T1674" s="5" t="e">
        <f>(R1674/S1674)*2</f>
        <v>#DIV/0!</v>
      </c>
      <c r="U1674" s="100"/>
      <c r="V1674" s="17"/>
      <c r="W1674" s="66">
        <v>0.54097222222222219</v>
      </c>
      <c r="X1674" s="7">
        <v>122.55</v>
      </c>
      <c r="Y1674" s="7">
        <v>79</v>
      </c>
      <c r="Z1674" s="66">
        <v>0.54097222222222219</v>
      </c>
    </row>
    <row r="1675" spans="2:26" x14ac:dyDescent="0.3">
      <c r="B1675" s="14">
        <f>B1674-50</f>
        <v>14300</v>
      </c>
      <c r="C1675" s="7">
        <v>134.25</v>
      </c>
      <c r="D1675" s="23">
        <v>123.75</v>
      </c>
      <c r="E1675" s="16"/>
      <c r="F1675" s="98">
        <f t="shared" si="111"/>
        <v>14176.25</v>
      </c>
      <c r="G1675" s="17"/>
      <c r="H1675" s="7">
        <v>108</v>
      </c>
      <c r="I1675" s="7">
        <v>97.3</v>
      </c>
      <c r="J1675" s="7">
        <v>86.65</v>
      </c>
      <c r="K1675" s="7"/>
      <c r="L1675" s="7"/>
      <c r="M1675" s="7">
        <v>45.35</v>
      </c>
      <c r="N1675" s="17"/>
      <c r="P1675" s="17"/>
      <c r="Q1675" s="17"/>
      <c r="R1675" s="17"/>
      <c r="S1675" s="17"/>
      <c r="T1675" s="17"/>
      <c r="U1675" s="17"/>
      <c r="V1675" s="17"/>
      <c r="W1675" s="66">
        <v>6.1805555555555558E-2</v>
      </c>
      <c r="X1675" s="7">
        <v>143.05000000000001</v>
      </c>
      <c r="Y1675" s="7">
        <v>71.5</v>
      </c>
      <c r="Z1675" s="66">
        <v>6.1805555555555558E-2</v>
      </c>
    </row>
    <row r="1676" spans="2:26" x14ac:dyDescent="0.3">
      <c r="B1676" s="99">
        <f>B1675-50</f>
        <v>14250</v>
      </c>
      <c r="C1676" s="7">
        <v>118.8</v>
      </c>
      <c r="D1676" s="7">
        <v>109.1</v>
      </c>
      <c r="E1676" s="16"/>
      <c r="F1676" s="7">
        <f t="shared" si="111"/>
        <v>14140.9</v>
      </c>
      <c r="G1676" s="17"/>
      <c r="H1676" s="7">
        <v>95.1</v>
      </c>
      <c r="I1676" s="7">
        <v>85.3</v>
      </c>
      <c r="J1676" s="7">
        <v>76.099999999999994</v>
      </c>
      <c r="K1676" s="7"/>
      <c r="L1676" s="7"/>
      <c r="M1676" s="7">
        <v>39.299999999999997</v>
      </c>
      <c r="N1676" s="17"/>
      <c r="P1676" s="17"/>
      <c r="Q1676" s="17"/>
      <c r="R1676" s="17"/>
      <c r="S1676" s="17"/>
      <c r="T1676" s="17"/>
      <c r="U1676" s="17"/>
      <c r="V1676" s="17"/>
      <c r="W1676" s="66">
        <v>8.2638888888888887E-2</v>
      </c>
      <c r="X1676" s="7">
        <v>183.1</v>
      </c>
      <c r="Y1676" s="7">
        <v>55</v>
      </c>
      <c r="Z1676" s="66">
        <v>8.2638888888888887E-2</v>
      </c>
    </row>
    <row r="1677" spans="2:26" x14ac:dyDescent="0.3">
      <c r="B1677" s="5">
        <f>B1676-50</f>
        <v>14200</v>
      </c>
      <c r="C1677" s="51">
        <v>105.55</v>
      </c>
      <c r="D1677" s="7">
        <v>95.15</v>
      </c>
      <c r="E1677" s="16"/>
      <c r="F1677" s="7">
        <f t="shared" si="111"/>
        <v>14104.85</v>
      </c>
      <c r="G1677" s="17"/>
      <c r="H1677" s="7">
        <v>84.75</v>
      </c>
      <c r="I1677" s="7">
        <v>74.849999999999994</v>
      </c>
      <c r="J1677" s="7">
        <v>66.8</v>
      </c>
      <c r="K1677" s="7"/>
      <c r="L1677" s="7"/>
      <c r="M1677" s="7">
        <v>34</v>
      </c>
      <c r="N1677" s="17"/>
      <c r="P1677" s="77">
        <f>SUM(R1668,R1674)</f>
        <v>7308.7500000000009</v>
      </c>
      <c r="Q1677" s="92" t="s">
        <v>72</v>
      </c>
      <c r="R1677" s="17"/>
      <c r="S1677" s="92" t="s">
        <v>73</v>
      </c>
      <c r="T1677" s="7">
        <f>((X1669+Y1669)-(X1677+Y1677))</f>
        <v>9.6499999999999773</v>
      </c>
      <c r="U1677" s="7"/>
      <c r="V1677" s="98">
        <f>T1677*M1658</f>
        <v>1447.4999999999966</v>
      </c>
      <c r="W1677" s="66">
        <v>0.4368055555555555</v>
      </c>
      <c r="X1677" s="23">
        <v>112.65</v>
      </c>
      <c r="Y1677" s="7">
        <v>77.95</v>
      </c>
      <c r="Z1677" s="66">
        <v>0.45</v>
      </c>
    </row>
    <row r="1678" spans="2:26" x14ac:dyDescent="0.3">
      <c r="H1678" s="76">
        <v>77.25</v>
      </c>
      <c r="I1678" s="76">
        <v>65.95</v>
      </c>
      <c r="J1678" s="76">
        <v>58.45</v>
      </c>
      <c r="M1678" s="76">
        <v>29.3</v>
      </c>
    </row>
    <row r="1689" spans="2:26" x14ac:dyDescent="0.3">
      <c r="B1689" s="40"/>
      <c r="C1689" s="50">
        <f>AVERAGE(B1690,D1689)</f>
        <v>14791</v>
      </c>
      <c r="D1689" s="51">
        <f>B1690+E1690</f>
        <v>14846</v>
      </c>
      <c r="E1689" s="50">
        <f>AVERAGE(D1689,F1689)</f>
        <v>14901</v>
      </c>
      <c r="F1689" s="50">
        <f>D1689+E1690</f>
        <v>14956</v>
      </c>
      <c r="G1689" s="17"/>
      <c r="H1689" s="88" t="str">
        <f>IF((C1698-D1698)&gt;(C1707-D1707),"LONG",IF(C1707&gt;D1705,"LONG","SHORT"))</f>
        <v>LONG</v>
      </c>
      <c r="I1689" s="104">
        <v>14665</v>
      </c>
      <c r="J1689" s="105" t="s">
        <v>122</v>
      </c>
      <c r="K1689" s="106">
        <v>14779</v>
      </c>
      <c r="L1689" s="17"/>
      <c r="M1689" s="94">
        <f>(159000)/4</f>
        <v>39750</v>
      </c>
      <c r="N1689" s="17"/>
      <c r="P1689" s="16"/>
      <c r="Q1689" s="149" t="s">
        <v>71</v>
      </c>
      <c r="R1689" s="149"/>
      <c r="S1689" s="149" t="s">
        <v>37</v>
      </c>
      <c r="T1689" s="149"/>
      <c r="U1689" s="89"/>
      <c r="V1689" s="17"/>
      <c r="W1689" s="90" t="s">
        <v>68</v>
      </c>
      <c r="X1689" s="91" t="s">
        <v>69</v>
      </c>
      <c r="Y1689" s="92" t="s">
        <v>70</v>
      </c>
      <c r="Z1689" s="90" t="s">
        <v>68</v>
      </c>
    </row>
    <row r="1690" spans="2:26" x14ac:dyDescent="0.3">
      <c r="B1690" s="50">
        <v>14736</v>
      </c>
      <c r="C1690" s="40"/>
      <c r="D1690" s="58"/>
      <c r="E1690" s="59">
        <f>ROUND((((B1690*F1690%)/4)/10),0)*10</f>
        <v>110</v>
      </c>
      <c r="F1690" s="51">
        <f>(100/B1690)*(F1699-F1708)</f>
        <v>2.8583061889250865</v>
      </c>
      <c r="G1690" s="17"/>
      <c r="H1690" s="93">
        <v>0.39166666666666666</v>
      </c>
      <c r="I1690" s="93">
        <v>0.39861111111111108</v>
      </c>
      <c r="J1690" s="93">
        <v>0.4055555555555555</v>
      </c>
      <c r="K1690" s="93">
        <v>0.41250000000000003</v>
      </c>
      <c r="L1690" s="17"/>
      <c r="N1690" s="17"/>
      <c r="P1690" s="16"/>
      <c r="Q1690" s="51">
        <f>R1690-(S1690-R1690)</f>
        <v>14093.7</v>
      </c>
      <c r="R1690" s="51">
        <v>14475.6</v>
      </c>
      <c r="S1690" s="51">
        <v>14857.5</v>
      </c>
      <c r="T1690" s="51">
        <f>S1690+(S1690-R1690)</f>
        <v>15239.4</v>
      </c>
      <c r="U1690" s="62"/>
      <c r="V1690" s="17"/>
      <c r="W1690" s="66">
        <v>0.41597222222222219</v>
      </c>
      <c r="X1690" s="7">
        <v>147.85</v>
      </c>
      <c r="Y1690" s="7">
        <v>140.65</v>
      </c>
      <c r="Z1690" s="66">
        <v>0.41597222222222219</v>
      </c>
    </row>
    <row r="1691" spans="2:26" x14ac:dyDescent="0.3">
      <c r="B1691" s="40"/>
      <c r="C1691" s="50">
        <f>AVERAGE(B1690,D1691)</f>
        <v>14681</v>
      </c>
      <c r="D1691" s="51">
        <f>B1690-E1690</f>
        <v>14626</v>
      </c>
      <c r="E1691" s="50">
        <f>AVERAGE(D1691,F1691)</f>
        <v>14571</v>
      </c>
      <c r="F1691" s="50">
        <f>D1691-E1690</f>
        <v>14516</v>
      </c>
      <c r="G1691" s="17"/>
      <c r="H1691" s="51">
        <v>14689.85</v>
      </c>
      <c r="I1691" s="51">
        <v>14709.1</v>
      </c>
      <c r="J1691" s="51">
        <v>14724.8</v>
      </c>
      <c r="K1691" s="51">
        <v>14761</v>
      </c>
      <c r="L1691" s="17"/>
      <c r="M1691" s="94">
        <f>ROUND((M1689/AVERAGE(F1702,F1704))/225,0)*75</f>
        <v>150</v>
      </c>
      <c r="N1691" s="17"/>
      <c r="P1691" s="16"/>
      <c r="Q1691" s="17"/>
      <c r="R1691" s="17"/>
      <c r="S1691" s="17"/>
      <c r="T1691" s="16"/>
      <c r="U1691" s="16"/>
      <c r="V1691" s="17"/>
      <c r="W1691" s="66">
        <v>0.4368055555555555</v>
      </c>
      <c r="X1691" s="7">
        <v>133</v>
      </c>
      <c r="Y1691" s="7">
        <v>155.15</v>
      </c>
      <c r="Z1691" s="66">
        <v>0.4368055555555555</v>
      </c>
    </row>
    <row r="1692" spans="2:26" x14ac:dyDescent="0.3">
      <c r="B1692" s="17"/>
      <c r="C1692" s="17"/>
      <c r="D1692" s="17"/>
      <c r="E1692" s="17"/>
      <c r="F1692" s="16"/>
      <c r="G1692" s="16"/>
      <c r="H1692" s="17"/>
      <c r="I1692" s="17">
        <v>14769</v>
      </c>
      <c r="J1692" s="17">
        <v>14747</v>
      </c>
      <c r="K1692" s="16"/>
      <c r="L1692" s="17"/>
      <c r="M1692" s="17"/>
      <c r="N1692" s="17"/>
      <c r="P1692" s="16"/>
      <c r="Q1692" s="17"/>
      <c r="R1692" s="17"/>
      <c r="S1692" s="17"/>
      <c r="T1692" s="17"/>
      <c r="U1692" s="17"/>
      <c r="V1692" s="17"/>
      <c r="W1692" s="66">
        <v>0.45763888888888887</v>
      </c>
      <c r="X1692" s="7">
        <v>114.75</v>
      </c>
      <c r="Y1692" s="7">
        <v>171.9</v>
      </c>
      <c r="Z1692" s="66">
        <v>0.45763888888888887</v>
      </c>
    </row>
    <row r="1693" spans="2:26" x14ac:dyDescent="0.3">
      <c r="B1693" s="16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P1693" s="16"/>
      <c r="Q1693" s="17"/>
      <c r="R1693" s="17"/>
      <c r="S1693" s="17"/>
      <c r="T1693" s="17"/>
      <c r="U1693" s="17"/>
      <c r="V1693" s="17"/>
      <c r="W1693" s="66">
        <v>0.47847222222222219</v>
      </c>
      <c r="X1693" s="7">
        <v>113.85</v>
      </c>
      <c r="Y1693" s="7">
        <v>167.45</v>
      </c>
      <c r="Z1693" s="66">
        <v>0.47847222222222219</v>
      </c>
    </row>
    <row r="1694" spans="2:26" x14ac:dyDescent="0.3">
      <c r="B1694" s="17"/>
      <c r="C1694" s="95">
        <v>44277</v>
      </c>
      <c r="D1694" s="17">
        <v>14673.5</v>
      </c>
      <c r="E1694" s="17"/>
      <c r="F1694" s="7">
        <f>AVERAGE(F1696,F1705)</f>
        <v>14723.474999999999</v>
      </c>
      <c r="G1694" s="96"/>
      <c r="H1694" s="66">
        <v>0.4368055555555555</v>
      </c>
      <c r="I1694" s="66">
        <v>0.49652777777777773</v>
      </c>
      <c r="J1694" s="66">
        <v>0.52083333333333337</v>
      </c>
      <c r="K1694" s="66">
        <v>6.8749999999999992E-2</v>
      </c>
      <c r="L1694" s="66"/>
      <c r="M1694" s="66">
        <v>0.13541666666666666</v>
      </c>
      <c r="N1694" s="17"/>
      <c r="P1694" s="16"/>
      <c r="Q1694" s="17"/>
      <c r="R1694" s="17"/>
      <c r="S1694" s="17"/>
      <c r="T1694" s="17"/>
      <c r="U1694" s="17"/>
      <c r="V1694" s="17"/>
      <c r="W1694" s="66">
        <v>0.4993055555555555</v>
      </c>
      <c r="X1694" s="7">
        <v>130</v>
      </c>
      <c r="Y1694" s="7">
        <v>147.44999999999999</v>
      </c>
      <c r="Z1694" s="66">
        <v>0.4993055555555555</v>
      </c>
    </row>
    <row r="1695" spans="2:26" x14ac:dyDescent="0.3">
      <c r="B1695" s="90" t="s">
        <v>68</v>
      </c>
      <c r="C1695" s="66">
        <v>0.41666666666666669</v>
      </c>
      <c r="D1695" s="66">
        <v>0.3923611111111111</v>
      </c>
      <c r="E1695" s="17"/>
      <c r="F1695" s="17"/>
      <c r="G1695" s="17"/>
      <c r="H1695" s="7">
        <v>14701.1</v>
      </c>
      <c r="I1695" s="7">
        <v>14717.45</v>
      </c>
      <c r="J1695" s="7">
        <v>14631.5</v>
      </c>
      <c r="K1695" s="7">
        <v>14667.7</v>
      </c>
      <c r="L1695" s="7"/>
      <c r="M1695" s="7">
        <v>14760</v>
      </c>
      <c r="N1695" s="17"/>
      <c r="P1695" s="17"/>
      <c r="Q1695" s="145" t="s">
        <v>72</v>
      </c>
      <c r="R1695" s="145"/>
      <c r="S1695" s="145"/>
      <c r="T1695" s="145"/>
      <c r="U1695" s="83"/>
      <c r="V1695" s="17"/>
      <c r="W1695" s="66">
        <v>0.52013888888888882</v>
      </c>
      <c r="X1695" s="7">
        <v>102.2</v>
      </c>
      <c r="Y1695" s="7">
        <v>181.05</v>
      </c>
      <c r="Z1695" s="66">
        <v>0.52013888888888882</v>
      </c>
    </row>
    <row r="1696" spans="2:26" x14ac:dyDescent="0.3">
      <c r="B1696" s="5">
        <f>B1697-50</f>
        <v>14700</v>
      </c>
      <c r="C1696" s="7">
        <v>176.75</v>
      </c>
      <c r="D1696" s="7">
        <v>144.30000000000001</v>
      </c>
      <c r="E1696" s="16"/>
      <c r="F1696" s="7">
        <f t="shared" ref="F1696:F1701" si="113">B1696+D1696</f>
        <v>14844.3</v>
      </c>
      <c r="G1696" s="40">
        <f>AVERAGE(H1706,H1697)</f>
        <v>144.07499999999999</v>
      </c>
      <c r="H1696" s="7">
        <v>159.25</v>
      </c>
      <c r="I1696" s="7">
        <v>159.05000000000001</v>
      </c>
      <c r="J1696" s="7">
        <v>120.15</v>
      </c>
      <c r="K1696" s="7">
        <v>129.9</v>
      </c>
      <c r="L1696" s="7"/>
      <c r="M1696" s="7">
        <v>166.7</v>
      </c>
      <c r="N1696" s="17"/>
      <c r="P1696" s="17"/>
      <c r="Q1696" s="26"/>
      <c r="R1696" s="34" t="s">
        <v>2</v>
      </c>
      <c r="S1696" s="34" t="s">
        <v>111</v>
      </c>
      <c r="T1696" s="34" t="s">
        <v>1</v>
      </c>
      <c r="U1696" s="84"/>
      <c r="V1696" s="17"/>
      <c r="W1696" s="66">
        <v>0.54097222222222219</v>
      </c>
      <c r="X1696" s="7">
        <v>97</v>
      </c>
      <c r="Y1696" s="7">
        <v>186.55</v>
      </c>
      <c r="Z1696" s="66">
        <v>0.54097222222222219</v>
      </c>
    </row>
    <row r="1697" spans="2:26" x14ac:dyDescent="0.3">
      <c r="B1697" s="5">
        <f>B1698-50</f>
        <v>14750</v>
      </c>
      <c r="C1697" s="7">
        <v>147.85</v>
      </c>
      <c r="D1697" s="7">
        <v>120.15</v>
      </c>
      <c r="E1697" s="16"/>
      <c r="F1697" s="7">
        <f t="shared" si="113"/>
        <v>14870.15</v>
      </c>
      <c r="G1697" s="40">
        <f>H1697</f>
        <v>133</v>
      </c>
      <c r="H1697" s="7">
        <v>133</v>
      </c>
      <c r="I1697" s="7">
        <v>132.35</v>
      </c>
      <c r="J1697" s="7">
        <v>97.45</v>
      </c>
      <c r="K1697" s="7">
        <v>106.5</v>
      </c>
      <c r="L1697" s="7"/>
      <c r="M1697" s="7">
        <v>137.75</v>
      </c>
      <c r="N1697" s="17"/>
      <c r="P1697" s="17"/>
      <c r="Q1697" s="7">
        <f>(T1697-R1697)*S1697</f>
        <v>0</v>
      </c>
      <c r="R1697" s="7"/>
      <c r="S1697" s="5"/>
      <c r="T1697" s="7"/>
      <c r="U1697" s="70"/>
      <c r="V1697" s="17"/>
      <c r="W1697" s="66">
        <v>6.1805555555555558E-2</v>
      </c>
      <c r="X1697" s="7">
        <v>94.55</v>
      </c>
      <c r="Y1697" s="7">
        <v>186.7</v>
      </c>
      <c r="Z1697" s="66">
        <v>6.1805555555555558E-2</v>
      </c>
    </row>
    <row r="1698" spans="2:26" x14ac:dyDescent="0.3">
      <c r="B1698" s="97">
        <v>14800</v>
      </c>
      <c r="C1698" s="7">
        <v>121.85</v>
      </c>
      <c r="D1698" s="7">
        <v>97.15</v>
      </c>
      <c r="E1698" s="16"/>
      <c r="F1698" s="7">
        <f t="shared" si="113"/>
        <v>14897.15</v>
      </c>
      <c r="G1698" s="17"/>
      <c r="H1698" s="7">
        <v>109.35</v>
      </c>
      <c r="I1698" s="7">
        <v>107.5</v>
      </c>
      <c r="J1698" s="7">
        <v>77.55</v>
      </c>
      <c r="K1698" s="7">
        <v>84.8</v>
      </c>
      <c r="L1698" s="7"/>
      <c r="M1698" s="7">
        <v>111</v>
      </c>
      <c r="N1698" s="17"/>
      <c r="P1698" s="17"/>
      <c r="Q1698" s="7">
        <f>(T1698-R1698)*S1698</f>
        <v>0</v>
      </c>
      <c r="R1698" s="7"/>
      <c r="S1698" s="5"/>
      <c r="T1698" s="7"/>
      <c r="U1698" s="70"/>
      <c r="V1698" s="17"/>
      <c r="W1698" s="66">
        <v>8.2638888888888887E-2</v>
      </c>
      <c r="X1698" s="7">
        <v>103</v>
      </c>
      <c r="Y1698" s="7">
        <v>162.94999999999999</v>
      </c>
      <c r="Z1698" s="66">
        <v>8.2638888888888887E-2</v>
      </c>
    </row>
    <row r="1699" spans="2:26" x14ac:dyDescent="0.3">
      <c r="B1699" s="5">
        <f>B1698+50</f>
        <v>14850</v>
      </c>
      <c r="C1699" s="7">
        <v>99.15</v>
      </c>
      <c r="D1699" s="23">
        <v>77.45</v>
      </c>
      <c r="E1699" s="16"/>
      <c r="F1699" s="98">
        <f t="shared" si="113"/>
        <v>14927.45</v>
      </c>
      <c r="G1699" s="17"/>
      <c r="H1699" s="7">
        <v>87.4</v>
      </c>
      <c r="I1699" s="7">
        <v>86.05</v>
      </c>
      <c r="J1699" s="7">
        <v>60.55</v>
      </c>
      <c r="K1699" s="7">
        <v>67</v>
      </c>
      <c r="L1699" s="7"/>
      <c r="M1699" s="7">
        <v>87.6</v>
      </c>
      <c r="N1699" s="17"/>
      <c r="P1699" s="17"/>
      <c r="Q1699" s="7">
        <f>(T1699-R1699)*S1699</f>
        <v>0</v>
      </c>
      <c r="R1699" s="7"/>
      <c r="S1699" s="5"/>
      <c r="T1699" s="7"/>
      <c r="U1699" s="70"/>
      <c r="V1699" s="17"/>
      <c r="W1699" s="17"/>
      <c r="X1699" s="17"/>
      <c r="Y1699" s="17"/>
      <c r="Z1699" s="17"/>
    </row>
    <row r="1700" spans="2:26" x14ac:dyDescent="0.3">
      <c r="B1700" s="99">
        <f>B1699+50</f>
        <v>14900</v>
      </c>
      <c r="C1700" s="51">
        <v>78.7</v>
      </c>
      <c r="D1700" s="7">
        <v>60.75</v>
      </c>
      <c r="E1700" s="16"/>
      <c r="F1700" s="7">
        <f t="shared" si="113"/>
        <v>14960.75</v>
      </c>
      <c r="G1700" s="17"/>
      <c r="H1700" s="7">
        <v>69.349999999999994</v>
      </c>
      <c r="I1700" s="7">
        <v>67.75</v>
      </c>
      <c r="J1700" s="7">
        <v>46.7</v>
      </c>
      <c r="K1700" s="7">
        <v>51.35</v>
      </c>
      <c r="L1700" s="7"/>
      <c r="M1700" s="7">
        <v>67.05</v>
      </c>
      <c r="N1700" s="17"/>
      <c r="P1700" s="17"/>
      <c r="Q1700" s="7">
        <f>(T1700-R1700)*S1700</f>
        <v>0</v>
      </c>
      <c r="R1700" s="7"/>
      <c r="S1700" s="5"/>
      <c r="T1700" s="7"/>
      <c r="U1700" s="70"/>
      <c r="V1700" s="17"/>
      <c r="W1700" s="90" t="s">
        <v>68</v>
      </c>
      <c r="X1700" s="91" t="s">
        <v>69</v>
      </c>
      <c r="Y1700" s="92" t="s">
        <v>70</v>
      </c>
      <c r="Z1700" s="90" t="s">
        <v>68</v>
      </c>
    </row>
    <row r="1701" spans="2:26" x14ac:dyDescent="0.3">
      <c r="B1701" s="5">
        <f>B1700+50</f>
        <v>14950</v>
      </c>
      <c r="C1701" s="7">
        <v>61.35</v>
      </c>
      <c r="D1701" s="7">
        <v>47</v>
      </c>
      <c r="E1701" s="16">
        <f>E1702-(F1702-E1702)</f>
        <v>57.75</v>
      </c>
      <c r="F1701" s="7">
        <f t="shared" si="113"/>
        <v>14997</v>
      </c>
      <c r="G1701" s="16">
        <f>G1702+(G1702-F1702)</f>
        <v>132.25</v>
      </c>
      <c r="H1701" s="7">
        <v>53.1</v>
      </c>
      <c r="I1701" s="7">
        <v>52.15</v>
      </c>
      <c r="J1701" s="7">
        <v>35.5</v>
      </c>
      <c r="K1701" s="7">
        <v>39</v>
      </c>
      <c r="L1701" s="7"/>
      <c r="M1701" s="7">
        <v>50.25</v>
      </c>
      <c r="N1701" s="17"/>
      <c r="P1701" s="17"/>
      <c r="Q1701" s="5" t="s">
        <v>112</v>
      </c>
      <c r="R1701" s="30">
        <f>SUM(Q1697:Q1700)</f>
        <v>0</v>
      </c>
      <c r="S1701" s="5">
        <f>SUM(S1697:S1700)</f>
        <v>0</v>
      </c>
      <c r="T1701" s="5" t="e">
        <f>(R1701/S1701)*2</f>
        <v>#DIV/0!</v>
      </c>
      <c r="U1701" s="100"/>
      <c r="V1701" s="17"/>
      <c r="W1701" s="66">
        <v>0.41597222222222219</v>
      </c>
      <c r="X1701" s="7">
        <v>78.7</v>
      </c>
      <c r="Y1701" s="7">
        <v>90.85</v>
      </c>
      <c r="Z1701" s="66">
        <v>0.41597222222222219</v>
      </c>
    </row>
    <row r="1702" spans="2:26" x14ac:dyDescent="0.3">
      <c r="B1702" s="17"/>
      <c r="C1702" s="17"/>
      <c r="D1702" s="16"/>
      <c r="E1702" s="16">
        <f>F1702-(G1702-F1702)</f>
        <v>76.375</v>
      </c>
      <c r="F1702" s="16">
        <f>AVERAGE(C1699,C1709)</f>
        <v>95</v>
      </c>
      <c r="G1702" s="16">
        <f>AVERAGE(C1698,C1708)</f>
        <v>113.625</v>
      </c>
      <c r="H1702" s="17"/>
      <c r="I1702" s="81"/>
      <c r="J1702" s="17"/>
      <c r="K1702" s="76"/>
      <c r="L1702" s="17"/>
      <c r="M1702" s="17"/>
      <c r="N1702" s="17"/>
      <c r="P1702" s="17"/>
      <c r="Q1702" s="17"/>
      <c r="R1702" s="17"/>
      <c r="S1702" s="17"/>
      <c r="T1702" s="17"/>
      <c r="U1702" s="17"/>
      <c r="V1702" s="16"/>
      <c r="W1702" s="66">
        <v>0.4368055555555555</v>
      </c>
      <c r="X1702" s="7">
        <v>69.349999999999994</v>
      </c>
      <c r="Y1702" s="7">
        <v>100</v>
      </c>
      <c r="Z1702" s="66">
        <v>0.4368055555555555</v>
      </c>
    </row>
    <row r="1703" spans="2:26" x14ac:dyDescent="0.3">
      <c r="B1703" s="17"/>
      <c r="C1703" s="95">
        <v>44280</v>
      </c>
      <c r="D1703" s="101">
        <v>14767.1</v>
      </c>
      <c r="F1703" s="16"/>
      <c r="H1703" s="66">
        <v>0.4368055555555555</v>
      </c>
      <c r="I1703" s="66">
        <v>0.49652777777777773</v>
      </c>
      <c r="J1703" s="66">
        <v>0.52083333333333337</v>
      </c>
      <c r="K1703" s="66">
        <v>6.8749999999999992E-2</v>
      </c>
      <c r="L1703" s="66"/>
      <c r="M1703" s="66">
        <v>0.13541666666666666</v>
      </c>
      <c r="P1703" s="17"/>
      <c r="Q1703" s="7">
        <f>(T1703-R1703)*S1703</f>
        <v>-1758.7500000000002</v>
      </c>
      <c r="R1703" s="18">
        <v>100</v>
      </c>
      <c r="S1703" s="5">
        <v>75</v>
      </c>
      <c r="T1703" s="7">
        <v>76.55</v>
      </c>
      <c r="U1703" s="70"/>
      <c r="V1703" s="17"/>
      <c r="W1703" s="66">
        <v>0.45763888888888887</v>
      </c>
      <c r="X1703" s="7">
        <v>57</v>
      </c>
      <c r="Y1703" s="7">
        <v>110.1</v>
      </c>
      <c r="Z1703" s="66">
        <v>0.45763888888888887</v>
      </c>
    </row>
    <row r="1704" spans="2:26" x14ac:dyDescent="0.3">
      <c r="B1704" s="90" t="s">
        <v>68</v>
      </c>
      <c r="C1704" s="66">
        <v>0.41666666666666669</v>
      </c>
      <c r="D1704" s="66">
        <v>0.40833333333333338</v>
      </c>
      <c r="E1704" s="16">
        <f>F1704-(G1704-F1704)</f>
        <v>82.700000000000017</v>
      </c>
      <c r="F1704" s="16">
        <f>AVERAGE(C1708,C1699)</f>
        <v>102.27500000000001</v>
      </c>
      <c r="G1704" s="16">
        <f>AVERAGE(C1707,C1698)</f>
        <v>121.85</v>
      </c>
      <c r="H1704" s="23">
        <v>102.2</v>
      </c>
      <c r="I1704" s="23">
        <v>140.80000000000001</v>
      </c>
      <c r="J1704" s="23">
        <v>121.85</v>
      </c>
      <c r="K1704" s="23">
        <v>163</v>
      </c>
      <c r="L1704" s="7"/>
      <c r="M1704" s="7">
        <v>14760</v>
      </c>
      <c r="P1704" s="17"/>
      <c r="Q1704" s="7">
        <f>(T1704-R1704)*S1704</f>
        <v>-1758.7500000000002</v>
      </c>
      <c r="R1704" s="18">
        <v>100</v>
      </c>
      <c r="S1704" s="5">
        <v>75</v>
      </c>
      <c r="T1704" s="7">
        <v>76.55</v>
      </c>
      <c r="U1704" s="70"/>
      <c r="V1704" s="17"/>
      <c r="W1704" s="66">
        <v>0.47847222222222219</v>
      </c>
      <c r="X1704" s="7">
        <v>56.65</v>
      </c>
      <c r="Y1704" s="7">
        <v>107.2</v>
      </c>
      <c r="Z1704" s="66">
        <v>0.47847222222222219</v>
      </c>
    </row>
    <row r="1705" spans="2:26" x14ac:dyDescent="0.3">
      <c r="B1705" s="5">
        <f>B1706+50</f>
        <v>14750</v>
      </c>
      <c r="C1705" s="7">
        <v>162.05000000000001</v>
      </c>
      <c r="D1705" s="7">
        <v>147.35</v>
      </c>
      <c r="E1705" s="16">
        <f>E1704-(F1704-E1704)</f>
        <v>63.125000000000028</v>
      </c>
      <c r="F1705" s="7">
        <f t="shared" ref="F1705:F1710" si="114">B1705-D1705</f>
        <v>14602.65</v>
      </c>
      <c r="G1705" s="16">
        <f>G1704+(G1704-F1704)</f>
        <v>141.42499999999998</v>
      </c>
      <c r="H1705" s="7">
        <v>179</v>
      </c>
      <c r="I1705" s="7">
        <v>166.6</v>
      </c>
      <c r="J1705" s="7">
        <v>215.45</v>
      </c>
      <c r="K1705" s="7">
        <v>190.1</v>
      </c>
      <c r="L1705" s="7"/>
      <c r="M1705" s="7">
        <v>128</v>
      </c>
      <c r="N1705" s="17"/>
      <c r="P1705" s="17"/>
      <c r="Q1705" s="7">
        <f t="shared" ref="Q1705:Q1706" si="115">(T1705-R1705)*S1705</f>
        <v>0</v>
      </c>
      <c r="R1705" s="18"/>
      <c r="S1705" s="99"/>
      <c r="T1705" s="18"/>
      <c r="U1705" s="101"/>
      <c r="V1705" s="16"/>
      <c r="W1705" s="66">
        <v>0.4993055555555555</v>
      </c>
      <c r="X1705" s="7">
        <v>66.25</v>
      </c>
      <c r="Y1705" s="7">
        <v>93.8</v>
      </c>
      <c r="Z1705" s="66">
        <v>0.4993055555555555</v>
      </c>
    </row>
    <row r="1706" spans="2:26" x14ac:dyDescent="0.3">
      <c r="B1706" s="5">
        <f>B1707+50</f>
        <v>14700</v>
      </c>
      <c r="C1706" s="7">
        <v>140.65</v>
      </c>
      <c r="D1706" s="7">
        <v>126.7</v>
      </c>
      <c r="E1706" s="16"/>
      <c r="F1706" s="7">
        <f t="shared" si="114"/>
        <v>14573.3</v>
      </c>
      <c r="G1706" s="17"/>
      <c r="H1706" s="7">
        <v>155.15</v>
      </c>
      <c r="I1706" s="7">
        <v>143.94999999999999</v>
      </c>
      <c r="J1706" s="7">
        <v>187.85</v>
      </c>
      <c r="K1706" s="7">
        <v>164.25</v>
      </c>
      <c r="L1706" s="7"/>
      <c r="M1706" s="7">
        <v>107.05</v>
      </c>
      <c r="N1706" s="17"/>
      <c r="P1706" s="17"/>
      <c r="Q1706" s="7">
        <f t="shared" si="115"/>
        <v>0</v>
      </c>
      <c r="R1706" s="18"/>
      <c r="S1706" s="99"/>
      <c r="T1706" s="18"/>
      <c r="U1706" s="101"/>
      <c r="V1706" s="16"/>
      <c r="W1706" s="66">
        <v>0.52013888888888882</v>
      </c>
      <c r="X1706" s="7">
        <v>49.15</v>
      </c>
      <c r="Y1706" s="7">
        <v>117.15</v>
      </c>
      <c r="Z1706" s="66">
        <v>0.52013888888888882</v>
      </c>
    </row>
    <row r="1707" spans="2:26" x14ac:dyDescent="0.3">
      <c r="B1707" s="97">
        <v>14650</v>
      </c>
      <c r="C1707" s="7">
        <v>121.85</v>
      </c>
      <c r="D1707" s="7">
        <v>109.15</v>
      </c>
      <c r="E1707" s="16"/>
      <c r="F1707" s="7">
        <f t="shared" si="114"/>
        <v>14540.85</v>
      </c>
      <c r="G1707" s="17"/>
      <c r="H1707" s="7">
        <v>135</v>
      </c>
      <c r="I1707" s="7">
        <v>123.65</v>
      </c>
      <c r="J1707" s="7">
        <v>163</v>
      </c>
      <c r="K1707" s="7">
        <v>140.30000000000001</v>
      </c>
      <c r="L1707" s="7"/>
      <c r="M1707" s="7">
        <v>89.8</v>
      </c>
      <c r="N1707" s="17"/>
      <c r="P1707" s="17"/>
      <c r="Q1707" s="5" t="s">
        <v>112</v>
      </c>
      <c r="R1707" s="30">
        <f>SUM(Q1703:Q1706)</f>
        <v>-3517.5000000000005</v>
      </c>
      <c r="S1707" s="5">
        <f>SUM(S1703:S1706)</f>
        <v>150</v>
      </c>
      <c r="T1707" s="5">
        <f>(R1707/S1707)*2</f>
        <v>-46.900000000000006</v>
      </c>
      <c r="U1707" s="100"/>
      <c r="V1707" s="17"/>
      <c r="W1707" s="66">
        <v>0.54097222222222219</v>
      </c>
      <c r="X1707" s="7">
        <v>46</v>
      </c>
      <c r="Y1707" s="7">
        <v>120.6</v>
      </c>
      <c r="Z1707" s="66">
        <v>0.54097222222222219</v>
      </c>
    </row>
    <row r="1708" spans="2:26" x14ac:dyDescent="0.3">
      <c r="B1708" s="14">
        <f>B1707-50</f>
        <v>14600</v>
      </c>
      <c r="C1708" s="7">
        <v>105.4</v>
      </c>
      <c r="D1708" s="23">
        <v>93.75</v>
      </c>
      <c r="E1708" s="16"/>
      <c r="F1708" s="98">
        <f t="shared" si="114"/>
        <v>14506.25</v>
      </c>
      <c r="G1708" s="17"/>
      <c r="H1708" s="7">
        <v>116.4</v>
      </c>
      <c r="I1708" s="7">
        <v>105.7</v>
      </c>
      <c r="J1708" s="7">
        <v>141.5</v>
      </c>
      <c r="K1708" s="7">
        <v>120.15</v>
      </c>
      <c r="L1708" s="7"/>
      <c r="M1708" s="7">
        <v>75.3</v>
      </c>
      <c r="N1708" s="17"/>
      <c r="P1708" s="17"/>
      <c r="Q1708" s="17"/>
      <c r="R1708" s="17"/>
      <c r="S1708" s="17"/>
      <c r="T1708" s="17"/>
      <c r="U1708" s="17"/>
      <c r="V1708" s="17"/>
      <c r="W1708" s="66">
        <v>6.1805555555555558E-2</v>
      </c>
      <c r="X1708" s="7">
        <v>44.4</v>
      </c>
      <c r="Y1708" s="7">
        <v>120.1</v>
      </c>
      <c r="Z1708" s="66">
        <v>6.1805555555555558E-2</v>
      </c>
    </row>
    <row r="1709" spans="2:26" x14ac:dyDescent="0.3">
      <c r="B1709" s="99">
        <f>B1708-50</f>
        <v>14550</v>
      </c>
      <c r="C1709" s="51">
        <v>90.85</v>
      </c>
      <c r="D1709" s="7">
        <v>80.95</v>
      </c>
      <c r="E1709" s="16"/>
      <c r="F1709" s="7">
        <f t="shared" si="114"/>
        <v>14469.05</v>
      </c>
      <c r="G1709" s="40">
        <f>AVERAGE(H1706,G1710)</f>
        <v>140.89375000000001</v>
      </c>
      <c r="H1709" s="7">
        <v>100</v>
      </c>
      <c r="I1709" s="7">
        <v>90.3</v>
      </c>
      <c r="J1709" s="7">
        <v>121.85</v>
      </c>
      <c r="K1709" s="7">
        <v>102.35</v>
      </c>
      <c r="L1709" s="7"/>
      <c r="M1709" s="7">
        <v>62.2</v>
      </c>
      <c r="N1709" s="17"/>
      <c r="P1709" s="17"/>
      <c r="Q1709" s="17"/>
      <c r="R1709" s="17"/>
      <c r="S1709" s="17"/>
      <c r="T1709" s="17"/>
      <c r="U1709" s="17"/>
      <c r="V1709" s="17"/>
      <c r="W1709" s="66">
        <v>8.2638888888888887E-2</v>
      </c>
      <c r="X1709" s="7">
        <v>48.3</v>
      </c>
      <c r="Y1709" s="7">
        <v>102.25</v>
      </c>
      <c r="Z1709" s="66">
        <v>8.2638888888888887E-2</v>
      </c>
    </row>
    <row r="1710" spans="2:26" x14ac:dyDescent="0.3">
      <c r="B1710" s="5">
        <f>B1709-50</f>
        <v>14500</v>
      </c>
      <c r="C1710" s="7">
        <v>78.3</v>
      </c>
      <c r="D1710" s="7">
        <v>69.099999999999994</v>
      </c>
      <c r="E1710" s="16"/>
      <c r="F1710" s="7">
        <f t="shared" si="114"/>
        <v>14430.9</v>
      </c>
      <c r="G1710" s="40">
        <f>AVERAGE(H1706:H1709)</f>
        <v>126.63749999999999</v>
      </c>
      <c r="H1710" s="7">
        <v>85.8</v>
      </c>
      <c r="I1710" s="7">
        <v>77.05</v>
      </c>
      <c r="J1710" s="7">
        <v>105.15</v>
      </c>
      <c r="K1710" s="7">
        <v>87.45</v>
      </c>
      <c r="L1710" s="7"/>
      <c r="M1710" s="7">
        <v>51.8</v>
      </c>
      <c r="N1710" s="17"/>
      <c r="P1710" s="98">
        <f>SUM(R1701,R1707)</f>
        <v>-3517.5000000000005</v>
      </c>
      <c r="Q1710" s="92" t="s">
        <v>72</v>
      </c>
      <c r="R1710" s="17"/>
      <c r="S1710" s="92" t="s">
        <v>73</v>
      </c>
      <c r="T1710" s="7">
        <f>((X1702+Y1702)-(X1710+Y1710))</f>
        <v>16.25</v>
      </c>
      <c r="U1710" s="7"/>
      <c r="V1710" s="98">
        <f>T1710*M1691</f>
        <v>2437.5</v>
      </c>
      <c r="W1710" s="66">
        <v>0.45833333333333331</v>
      </c>
      <c r="X1710" s="7">
        <v>53.1</v>
      </c>
      <c r="Y1710" s="23">
        <v>100</v>
      </c>
      <c r="Z1710" s="66">
        <v>0.4368055555555555</v>
      </c>
    </row>
    <row r="1722" spans="2:26" x14ac:dyDescent="0.3">
      <c r="B1722" s="40"/>
      <c r="C1722" s="50">
        <f>AVERAGE(B1723,D1722)</f>
        <v>14871.3</v>
      </c>
      <c r="D1722" s="51">
        <f>B1723+E1723</f>
        <v>14916.3</v>
      </c>
      <c r="E1722" s="50">
        <f>AVERAGE(D1722,F1722)</f>
        <v>14961.3</v>
      </c>
      <c r="F1722" s="50">
        <f>D1722+E1723</f>
        <v>15006.3</v>
      </c>
      <c r="G1722" s="17"/>
      <c r="H1722" s="88" t="str">
        <f>IF((C1731-D1731)&gt;(C1740-D1740),"LONG",IF(C1740&gt;D1738,"LONG","SHORT"))</f>
        <v>LONG</v>
      </c>
      <c r="I1722" s="104">
        <v>14730</v>
      </c>
      <c r="J1722" s="105" t="s">
        <v>122</v>
      </c>
      <c r="K1722" s="106">
        <v>14848</v>
      </c>
      <c r="L1722" s="17"/>
      <c r="M1722" s="94">
        <f>(158000)/4</f>
        <v>39500</v>
      </c>
      <c r="N1722" s="17"/>
      <c r="P1722" s="16"/>
      <c r="Q1722" s="149" t="s">
        <v>71</v>
      </c>
      <c r="R1722" s="149"/>
      <c r="S1722" s="149" t="s">
        <v>37</v>
      </c>
      <c r="T1722" s="149"/>
      <c r="U1722" s="89"/>
      <c r="V1722" s="17"/>
      <c r="W1722" s="90" t="s">
        <v>68</v>
      </c>
      <c r="X1722" s="91" t="s">
        <v>69</v>
      </c>
      <c r="Y1722" s="92" t="s">
        <v>70</v>
      </c>
      <c r="Z1722" s="90" t="s">
        <v>68</v>
      </c>
    </row>
    <row r="1723" spans="2:26" x14ac:dyDescent="0.3">
      <c r="B1723" s="50">
        <v>14826.3</v>
      </c>
      <c r="C1723" s="40"/>
      <c r="D1723" s="58"/>
      <c r="E1723" s="59">
        <f>ROUND((((B1723*F1723%)/4)/10),0)*10</f>
        <v>90</v>
      </c>
      <c r="F1723" s="51">
        <f>(100/B1723)*(F1732-F1741)</f>
        <v>2.5488490048090195</v>
      </c>
      <c r="G1723" s="17"/>
      <c r="H1723" s="93">
        <v>0.39166666666666666</v>
      </c>
      <c r="I1723" s="93">
        <v>0.39861111111111108</v>
      </c>
      <c r="J1723" s="93">
        <v>0.4055555555555555</v>
      </c>
      <c r="K1723" s="93">
        <v>0.41250000000000003</v>
      </c>
      <c r="L1723" s="17"/>
      <c r="N1723" s="17"/>
      <c r="P1723" s="16"/>
      <c r="Q1723" s="51">
        <f>R1723-(S1723-R1723)</f>
        <v>14093.7</v>
      </c>
      <c r="R1723" s="51">
        <v>14475.6</v>
      </c>
      <c r="S1723" s="51">
        <v>14857.5</v>
      </c>
      <c r="T1723" s="51">
        <f>S1723+(S1723-R1723)</f>
        <v>15239.4</v>
      </c>
      <c r="U1723" s="62"/>
      <c r="V1723" s="17"/>
      <c r="W1723" s="66">
        <v>0.41597222222222219</v>
      </c>
      <c r="X1723" s="7">
        <v>138.30000000000001</v>
      </c>
      <c r="Y1723" s="7">
        <v>114.45</v>
      </c>
      <c r="Z1723" s="66">
        <v>0.41597222222222219</v>
      </c>
    </row>
    <row r="1724" spans="2:26" x14ac:dyDescent="0.3">
      <c r="B1724" s="40"/>
      <c r="C1724" s="50">
        <f>AVERAGE(B1723,D1724)</f>
        <v>14781.3</v>
      </c>
      <c r="D1724" s="51">
        <f>B1723-E1723</f>
        <v>14736.3</v>
      </c>
      <c r="E1724" s="50">
        <f>AVERAGE(D1724,F1724)</f>
        <v>14691.3</v>
      </c>
      <c r="F1724" s="50">
        <f>D1724-E1723</f>
        <v>14646.3</v>
      </c>
      <c r="G1724" s="17"/>
      <c r="H1724" s="51">
        <v>14821</v>
      </c>
      <c r="I1724" s="51">
        <v>14830</v>
      </c>
      <c r="J1724" s="51">
        <v>14803</v>
      </c>
      <c r="K1724" s="51">
        <v>14816.5</v>
      </c>
      <c r="L1724" s="17"/>
      <c r="M1724" s="94">
        <f>ROUND((M1722/AVERAGE(F1735,F1737))/225,0)*75</f>
        <v>150</v>
      </c>
      <c r="N1724" s="17"/>
      <c r="P1724" s="16"/>
      <c r="Q1724" s="17"/>
      <c r="R1724" s="17"/>
      <c r="S1724" s="17"/>
      <c r="T1724" s="16"/>
      <c r="U1724" s="16"/>
      <c r="V1724" s="17"/>
      <c r="W1724" s="66">
        <v>0.4368055555555555</v>
      </c>
      <c r="X1724" s="7">
        <v>110.95</v>
      </c>
      <c r="Y1724" s="7">
        <v>142.44999999999999</v>
      </c>
      <c r="Z1724" s="66">
        <v>0.4368055555555555</v>
      </c>
    </row>
    <row r="1725" spans="2:26" x14ac:dyDescent="0.3">
      <c r="B1725" s="17"/>
      <c r="C1725" s="17"/>
      <c r="D1725" s="17"/>
      <c r="E1725" s="17"/>
      <c r="F1725" s="16"/>
      <c r="G1725" s="16"/>
      <c r="H1725" s="17"/>
      <c r="I1725" s="17">
        <v>14841.5</v>
      </c>
      <c r="J1725" s="17">
        <v>14829.5</v>
      </c>
      <c r="K1725" s="16"/>
      <c r="L1725" s="17"/>
      <c r="M1725" s="17"/>
      <c r="N1725" s="17"/>
      <c r="P1725" s="16"/>
      <c r="Q1725" s="17"/>
      <c r="R1725" s="17"/>
      <c r="S1725" s="17"/>
      <c r="T1725" s="17"/>
      <c r="U1725" s="17"/>
      <c r="V1725" s="17"/>
      <c r="W1725" s="66">
        <v>0.45763888888888887</v>
      </c>
      <c r="X1725" s="7">
        <v>144.9</v>
      </c>
      <c r="Y1725" s="7">
        <v>98.8</v>
      </c>
      <c r="Z1725" s="66">
        <v>0.45763888888888887</v>
      </c>
    </row>
    <row r="1726" spans="2:26" x14ac:dyDescent="0.3">
      <c r="B1726" s="16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P1726" s="16"/>
      <c r="Q1726" s="17"/>
      <c r="R1726" s="17"/>
      <c r="S1726" s="17"/>
      <c r="T1726" s="17"/>
      <c r="U1726" s="17"/>
      <c r="V1726" s="17"/>
      <c r="W1726" s="66">
        <v>0.47847222222222219</v>
      </c>
      <c r="X1726" s="7">
        <v>113.45</v>
      </c>
      <c r="Y1726" s="7">
        <v>119.7</v>
      </c>
      <c r="Z1726" s="66">
        <v>0.47847222222222219</v>
      </c>
    </row>
    <row r="1727" spans="2:26" x14ac:dyDescent="0.3">
      <c r="B1727" s="17"/>
      <c r="C1727" s="95">
        <v>44278</v>
      </c>
      <c r="D1727" s="17"/>
      <c r="E1727" s="17"/>
      <c r="F1727" s="7">
        <f>AVERAGE(F1729,F1738)</f>
        <v>14813.9</v>
      </c>
      <c r="G1727" s="96"/>
      <c r="H1727" s="66">
        <v>0.4291666666666667</v>
      </c>
      <c r="I1727" s="66">
        <v>0.44444444444444442</v>
      </c>
      <c r="J1727" s="66">
        <v>0.45347222222222222</v>
      </c>
      <c r="K1727" s="66">
        <v>0.48125000000000001</v>
      </c>
      <c r="L1727" s="66">
        <v>9.5138888888888884E-2</v>
      </c>
      <c r="M1727" s="66">
        <v>0.13541666666666666</v>
      </c>
      <c r="N1727" s="17"/>
      <c r="P1727" s="16"/>
      <c r="Q1727" s="17"/>
      <c r="R1727" s="17"/>
      <c r="S1727" s="17"/>
      <c r="T1727" s="17"/>
      <c r="U1727" s="17"/>
      <c r="V1727" s="17"/>
      <c r="W1727" s="66">
        <v>0.4993055555555555</v>
      </c>
      <c r="X1727" s="7">
        <v>95.9</v>
      </c>
      <c r="Y1727" s="7">
        <v>136.55000000000001</v>
      </c>
      <c r="Z1727" s="66">
        <v>0.4993055555555555</v>
      </c>
    </row>
    <row r="1728" spans="2:26" x14ac:dyDescent="0.3">
      <c r="B1728" s="90" t="s">
        <v>68</v>
      </c>
      <c r="C1728" s="66">
        <v>0.41666666666666669</v>
      </c>
      <c r="D1728" s="66">
        <v>0.38611111111111113</v>
      </c>
      <c r="E1728" s="17"/>
      <c r="F1728" s="17"/>
      <c r="G1728" s="17"/>
      <c r="H1728" s="7">
        <v>14761.6</v>
      </c>
      <c r="I1728" s="7">
        <v>14791</v>
      </c>
      <c r="J1728" s="7">
        <v>14828.15</v>
      </c>
      <c r="K1728" s="7">
        <v>14744.5</v>
      </c>
      <c r="L1728" s="7">
        <v>14851.2</v>
      </c>
      <c r="M1728" s="7">
        <v>14838</v>
      </c>
      <c r="N1728" s="17"/>
      <c r="P1728" s="16"/>
      <c r="Q1728" s="145" t="s">
        <v>72</v>
      </c>
      <c r="R1728" s="145"/>
      <c r="S1728" s="145"/>
      <c r="T1728" s="145"/>
      <c r="U1728" s="83"/>
      <c r="V1728" s="17"/>
      <c r="W1728" s="66">
        <v>0.52013888888888882</v>
      </c>
      <c r="X1728" s="7">
        <v>92.5</v>
      </c>
      <c r="Y1728" s="7">
        <v>141.15</v>
      </c>
      <c r="Z1728" s="66">
        <v>0.52013888888888882</v>
      </c>
    </row>
    <row r="1729" spans="2:26" x14ac:dyDescent="0.3">
      <c r="B1729" s="5">
        <f>B1730-50</f>
        <v>14800</v>
      </c>
      <c r="C1729" s="7">
        <v>138.30000000000001</v>
      </c>
      <c r="D1729" s="7">
        <v>113.15</v>
      </c>
      <c r="E1729" s="16"/>
      <c r="F1729" s="7">
        <f t="shared" ref="F1729:F1734" si="116">B1729+D1729</f>
        <v>14913.15</v>
      </c>
      <c r="G1729" s="16">
        <f>AVERAGE(H1729,H1739)</f>
        <v>125.6</v>
      </c>
      <c r="H1729" s="7">
        <v>107.05</v>
      </c>
      <c r="I1729" s="7">
        <v>121.15</v>
      </c>
      <c r="J1729" s="7">
        <v>134.9</v>
      </c>
      <c r="K1729" s="7">
        <v>93.5</v>
      </c>
      <c r="L1729" s="7">
        <v>133</v>
      </c>
      <c r="M1729" s="7">
        <v>121.35</v>
      </c>
      <c r="N1729" s="17"/>
      <c r="P1729" s="16"/>
      <c r="Q1729" s="26"/>
      <c r="R1729" s="34" t="s">
        <v>2</v>
      </c>
      <c r="S1729" s="34" t="s">
        <v>111</v>
      </c>
      <c r="T1729" s="34" t="s">
        <v>1</v>
      </c>
      <c r="U1729" s="84"/>
      <c r="V1729" s="17"/>
      <c r="W1729" s="66">
        <v>0.54097222222222219</v>
      </c>
      <c r="X1729" s="7">
        <v>106.45</v>
      </c>
      <c r="Y1729" s="7">
        <v>120.65</v>
      </c>
      <c r="Z1729" s="66">
        <v>0.54097222222222219</v>
      </c>
    </row>
    <row r="1730" spans="2:26" x14ac:dyDescent="0.3">
      <c r="B1730" s="5">
        <f>B1731-50</f>
        <v>14850</v>
      </c>
      <c r="C1730" s="7">
        <v>111.1</v>
      </c>
      <c r="D1730" s="7">
        <v>89.2</v>
      </c>
      <c r="E1730" s="16"/>
      <c r="F1730" s="7">
        <f t="shared" si="116"/>
        <v>14939.2</v>
      </c>
      <c r="G1730" s="16">
        <f>H1729</f>
        <v>107.05</v>
      </c>
      <c r="H1730" s="7">
        <v>84</v>
      </c>
      <c r="I1730" s="7">
        <v>96</v>
      </c>
      <c r="J1730" s="7">
        <v>107.6</v>
      </c>
      <c r="K1730" s="7">
        <v>72</v>
      </c>
      <c r="L1730" s="7">
        <v>103.35</v>
      </c>
      <c r="M1730" s="7">
        <v>92</v>
      </c>
      <c r="N1730" s="17"/>
      <c r="P1730" s="16"/>
      <c r="Q1730" s="7">
        <f>(T1730-R1730)*S1730</f>
        <v>0</v>
      </c>
      <c r="R1730" s="7"/>
      <c r="S1730" s="5"/>
      <c r="T1730" s="7"/>
      <c r="U1730" s="70"/>
      <c r="V1730" s="17"/>
      <c r="W1730" s="66">
        <v>6.1805555555555558E-2</v>
      </c>
      <c r="X1730" s="7">
        <v>113.55</v>
      </c>
      <c r="Y1730" s="7">
        <v>107.75</v>
      </c>
      <c r="Z1730" s="66">
        <v>6.1805555555555558E-2</v>
      </c>
    </row>
    <row r="1731" spans="2:26" x14ac:dyDescent="0.3">
      <c r="B1731" s="97">
        <v>14900</v>
      </c>
      <c r="C1731" s="7">
        <v>87.5</v>
      </c>
      <c r="D1731" s="7">
        <v>67.900000000000006</v>
      </c>
      <c r="E1731" s="16"/>
      <c r="F1731" s="7">
        <f t="shared" si="116"/>
        <v>14967.9</v>
      </c>
      <c r="G1731" s="17"/>
      <c r="H1731" s="7">
        <v>64.099999999999994</v>
      </c>
      <c r="I1731" s="7">
        <v>74</v>
      </c>
      <c r="J1731" s="7">
        <v>83.45</v>
      </c>
      <c r="K1731" s="7">
        <v>54.5</v>
      </c>
      <c r="L1731" s="7">
        <v>78.25</v>
      </c>
      <c r="M1731" s="7">
        <v>67.599999999999994</v>
      </c>
      <c r="N1731" s="17"/>
      <c r="P1731" s="16"/>
      <c r="Q1731" s="7">
        <f>(T1731-R1731)*S1731</f>
        <v>0</v>
      </c>
      <c r="R1731" s="7"/>
      <c r="S1731" s="5"/>
      <c r="T1731" s="7"/>
      <c r="U1731" s="70"/>
      <c r="V1731" s="17"/>
      <c r="W1731" s="66">
        <v>8.2638888888888887E-2</v>
      </c>
      <c r="X1731" s="7">
        <v>118.95</v>
      </c>
      <c r="Y1731" s="7">
        <v>98</v>
      </c>
      <c r="Z1731" s="66">
        <v>8.2638888888888887E-2</v>
      </c>
    </row>
    <row r="1732" spans="2:26" x14ac:dyDescent="0.3">
      <c r="B1732" s="5">
        <f>B1731+50</f>
        <v>14950</v>
      </c>
      <c r="C1732" s="51">
        <v>67.3</v>
      </c>
      <c r="D1732" s="23">
        <v>50.5</v>
      </c>
      <c r="E1732" s="16"/>
      <c r="F1732" s="98">
        <f t="shared" si="116"/>
        <v>15000.5</v>
      </c>
      <c r="G1732" s="17"/>
      <c r="H1732" s="51">
        <v>47.75</v>
      </c>
      <c r="I1732" s="7">
        <v>55.6</v>
      </c>
      <c r="J1732" s="7">
        <v>62.65</v>
      </c>
      <c r="K1732" s="7">
        <v>40.4</v>
      </c>
      <c r="L1732" s="7">
        <v>57.85</v>
      </c>
      <c r="M1732" s="7">
        <v>47.65</v>
      </c>
      <c r="N1732" s="17"/>
      <c r="P1732" s="16"/>
      <c r="Q1732" s="7">
        <f>(T1732-R1732)*S1732</f>
        <v>0</v>
      </c>
      <c r="R1732" s="7"/>
      <c r="S1732" s="5"/>
      <c r="T1732" s="7"/>
      <c r="U1732" s="70"/>
      <c r="V1732" s="17"/>
      <c r="W1732" s="17"/>
      <c r="X1732" s="17"/>
      <c r="Y1732" s="17"/>
      <c r="Z1732" s="17"/>
    </row>
    <row r="1733" spans="2:26" x14ac:dyDescent="0.3">
      <c r="B1733" s="99">
        <f>B1732+50</f>
        <v>15000</v>
      </c>
      <c r="C1733" s="7">
        <v>50.5</v>
      </c>
      <c r="D1733" s="7">
        <v>36.35</v>
      </c>
      <c r="E1733" s="16"/>
      <c r="F1733" s="7">
        <f t="shared" si="116"/>
        <v>15036.35</v>
      </c>
      <c r="G1733" s="17"/>
      <c r="H1733" s="7">
        <v>34.5</v>
      </c>
      <c r="I1733" s="7">
        <v>41</v>
      </c>
      <c r="J1733" s="7">
        <v>46.35</v>
      </c>
      <c r="K1733" s="7">
        <v>28.95</v>
      </c>
      <c r="L1733" s="7">
        <v>41.25</v>
      </c>
      <c r="M1733" s="7">
        <v>32.65</v>
      </c>
      <c r="N1733" s="17"/>
      <c r="P1733" s="17"/>
      <c r="Q1733" s="7">
        <f>(T1733-R1733)*S1733</f>
        <v>0</v>
      </c>
      <c r="R1733" s="7"/>
      <c r="S1733" s="5"/>
      <c r="T1733" s="7"/>
      <c r="U1733" s="70"/>
      <c r="V1733" s="17"/>
      <c r="W1733" s="90" t="s">
        <v>68</v>
      </c>
      <c r="X1733" s="91" t="s">
        <v>69</v>
      </c>
      <c r="Y1733" s="92" t="s">
        <v>70</v>
      </c>
      <c r="Z1733" s="90" t="s">
        <v>68</v>
      </c>
    </row>
    <row r="1734" spans="2:26" x14ac:dyDescent="0.3">
      <c r="B1734" s="5">
        <f>B1733+50</f>
        <v>15050</v>
      </c>
      <c r="C1734" s="7">
        <v>36.85</v>
      </c>
      <c r="D1734" s="7">
        <v>25.55</v>
      </c>
      <c r="E1734" s="16">
        <f>E1735-(F1735-E1735)</f>
        <v>42.625000000000014</v>
      </c>
      <c r="F1734" s="7">
        <f t="shared" si="116"/>
        <v>15075.55</v>
      </c>
      <c r="G1734" s="16">
        <f>G1735+(G1735-F1735)</f>
        <v>123.02499999999999</v>
      </c>
      <c r="H1734" s="7">
        <v>24.6</v>
      </c>
      <c r="I1734" s="7">
        <v>29.3</v>
      </c>
      <c r="J1734" s="7">
        <v>33.049999999999997</v>
      </c>
      <c r="K1734" s="7">
        <v>20.5</v>
      </c>
      <c r="L1734" s="7">
        <v>28.25</v>
      </c>
      <c r="M1734" s="7">
        <v>21.4</v>
      </c>
      <c r="N1734" s="17"/>
      <c r="P1734" s="17"/>
      <c r="Q1734" s="5" t="s">
        <v>112</v>
      </c>
      <c r="R1734" s="30">
        <f>SUM(Q1730:Q1733)</f>
        <v>0</v>
      </c>
      <c r="S1734" s="5">
        <f>SUM(S1730:S1733)</f>
        <v>0</v>
      </c>
      <c r="T1734" s="5" t="e">
        <f>(R1734/S1734)*2</f>
        <v>#DIV/0!</v>
      </c>
      <c r="U1734" s="100"/>
      <c r="V1734" s="17"/>
      <c r="W1734" s="66">
        <v>0.41597222222222219</v>
      </c>
      <c r="X1734" s="7">
        <v>67.3</v>
      </c>
      <c r="Y1734" s="7">
        <v>64.2</v>
      </c>
      <c r="Z1734" s="66">
        <v>0.41597222222222219</v>
      </c>
    </row>
    <row r="1735" spans="2:26" x14ac:dyDescent="0.3">
      <c r="B1735" s="17"/>
      <c r="C1735" s="17"/>
      <c r="D1735" s="16"/>
      <c r="E1735" s="16">
        <f>F1735-(G1735-F1735)</f>
        <v>62.725000000000009</v>
      </c>
      <c r="F1735" s="16">
        <f>AVERAGE(C1731,C1741)</f>
        <v>82.825000000000003</v>
      </c>
      <c r="G1735" s="16">
        <f>AVERAGE(C1730,C1740)</f>
        <v>102.925</v>
      </c>
      <c r="H1735" s="17"/>
      <c r="I1735" s="81"/>
      <c r="J1735" s="17"/>
      <c r="K1735" s="17"/>
      <c r="L1735" s="17"/>
      <c r="M1735" s="17"/>
      <c r="N1735" s="17"/>
      <c r="P1735" s="17"/>
      <c r="Q1735" s="17"/>
      <c r="R1735" s="17"/>
      <c r="S1735" s="17"/>
      <c r="T1735" s="17"/>
      <c r="U1735" s="17"/>
      <c r="V1735" s="16"/>
      <c r="W1735" s="66">
        <v>0.4368055555555555</v>
      </c>
      <c r="X1735" s="7">
        <v>49.9</v>
      </c>
      <c r="Y1735" s="7">
        <v>82.55</v>
      </c>
      <c r="Z1735" s="66">
        <v>0.4368055555555555</v>
      </c>
    </row>
    <row r="1736" spans="2:26" x14ac:dyDescent="0.3">
      <c r="B1736" s="17"/>
      <c r="C1736" s="95">
        <v>44280</v>
      </c>
      <c r="D1736" s="17"/>
      <c r="F1736" s="16"/>
      <c r="H1736" s="66">
        <v>0.4291666666666667</v>
      </c>
      <c r="I1736" s="66">
        <v>0.44444444444444442</v>
      </c>
      <c r="J1736" s="66">
        <v>0.45347222222222222</v>
      </c>
      <c r="K1736" s="66">
        <v>0.48125000000000001</v>
      </c>
      <c r="L1736" s="66">
        <v>9.5138888888888884E-2</v>
      </c>
      <c r="M1736" s="66">
        <v>0.13541666666666666</v>
      </c>
      <c r="P1736" s="17"/>
      <c r="Q1736" s="7">
        <f>(T1736-R1736)*S1736</f>
        <v>-1818.7499999999995</v>
      </c>
      <c r="R1736" s="18">
        <v>82.85</v>
      </c>
      <c r="S1736" s="5">
        <v>75</v>
      </c>
      <c r="T1736" s="7">
        <v>58.6</v>
      </c>
      <c r="U1736" s="70"/>
      <c r="V1736" s="17"/>
      <c r="W1736" s="66">
        <v>0.45763888888888887</v>
      </c>
      <c r="X1736" s="7">
        <v>68.7</v>
      </c>
      <c r="Y1736" s="7">
        <v>55.4</v>
      </c>
      <c r="Z1736" s="66">
        <v>0.45763888888888887</v>
      </c>
    </row>
    <row r="1737" spans="2:26" x14ac:dyDescent="0.3">
      <c r="B1737" s="90" t="s">
        <v>68</v>
      </c>
      <c r="C1737" s="66">
        <v>0.41666666666666669</v>
      </c>
      <c r="D1737" s="66">
        <v>0.4145833333333333</v>
      </c>
      <c r="E1737" s="16">
        <f>F1737-(G1737-F1737)</f>
        <v>62.725000000000009</v>
      </c>
      <c r="F1737" s="16">
        <f>AVERAGE(C1741,C1731)</f>
        <v>82.825000000000003</v>
      </c>
      <c r="G1737" s="16">
        <f>AVERAGE(C1740,C1730)</f>
        <v>102.925</v>
      </c>
      <c r="H1737" s="23">
        <v>82.8</v>
      </c>
      <c r="I1737" s="23">
        <v>125.6</v>
      </c>
      <c r="J1737" s="7">
        <v>62.7</v>
      </c>
      <c r="K1737" s="23">
        <v>82.8</v>
      </c>
      <c r="L1737" s="23">
        <v>42.6</v>
      </c>
      <c r="M1737" s="7">
        <v>14838</v>
      </c>
      <c r="P1737" s="17"/>
      <c r="Q1737" s="7">
        <f>(T1737-R1737)*S1737</f>
        <v>-1818.7499999999995</v>
      </c>
      <c r="R1737" s="18">
        <v>82.85</v>
      </c>
      <c r="S1737" s="5">
        <v>75</v>
      </c>
      <c r="T1737" s="7">
        <v>58.6</v>
      </c>
      <c r="U1737" s="70"/>
      <c r="V1737" s="17"/>
      <c r="W1737" s="66">
        <v>0.47847222222222219</v>
      </c>
      <c r="X1737" s="7">
        <v>49.75</v>
      </c>
      <c r="Y1737" s="7">
        <v>64.599999999999994</v>
      </c>
      <c r="Z1737" s="66">
        <v>0.47847222222222219</v>
      </c>
    </row>
    <row r="1738" spans="2:26" x14ac:dyDescent="0.3">
      <c r="B1738" s="5">
        <f>B1739+50</f>
        <v>14850</v>
      </c>
      <c r="C1738" s="7">
        <v>137.35</v>
      </c>
      <c r="D1738" s="7">
        <v>135.35</v>
      </c>
      <c r="E1738" s="16">
        <f>E1737-(F1737-E1737)</f>
        <v>42.625000000000014</v>
      </c>
      <c r="F1738" s="7">
        <f t="shared" ref="F1738:F1743" si="117">B1738-D1738</f>
        <v>14714.65</v>
      </c>
      <c r="G1738" s="16">
        <f>G1737+(G1737-F1737)</f>
        <v>123.02499999999999</v>
      </c>
      <c r="H1738" s="7">
        <v>171.45</v>
      </c>
      <c r="I1738" s="7">
        <v>153.85</v>
      </c>
      <c r="J1738" s="7">
        <v>132.5</v>
      </c>
      <c r="K1738" s="7">
        <v>179.35</v>
      </c>
      <c r="L1738" s="7">
        <v>102.95</v>
      </c>
      <c r="M1738" s="7">
        <v>104</v>
      </c>
      <c r="N1738" s="17"/>
      <c r="P1738" s="17"/>
      <c r="Q1738" s="7">
        <f t="shared" ref="Q1738:Q1739" si="118">(T1738-R1738)*S1738</f>
        <v>0</v>
      </c>
      <c r="R1738" s="18"/>
      <c r="S1738" s="99"/>
      <c r="T1738" s="18"/>
      <c r="U1738" s="101"/>
      <c r="V1738" s="16"/>
      <c r="W1738" s="66">
        <v>0.4993055555555555</v>
      </c>
      <c r="X1738" s="7">
        <v>41</v>
      </c>
      <c r="Y1738" s="7">
        <v>73.650000000000006</v>
      </c>
      <c r="Z1738" s="66">
        <v>0.4993055555555555</v>
      </c>
    </row>
    <row r="1739" spans="2:26" x14ac:dyDescent="0.3">
      <c r="B1739" s="5">
        <f>B1740+50</f>
        <v>14800</v>
      </c>
      <c r="C1739" s="7">
        <v>114.45</v>
      </c>
      <c r="D1739" s="7">
        <v>113.1</v>
      </c>
      <c r="E1739" s="16"/>
      <c r="F1739" s="7">
        <f t="shared" si="117"/>
        <v>14686.9</v>
      </c>
      <c r="G1739" s="17"/>
      <c r="H1739" s="7">
        <v>144.15</v>
      </c>
      <c r="I1739" s="7">
        <v>129.5</v>
      </c>
      <c r="J1739" s="7">
        <v>110</v>
      </c>
      <c r="K1739" s="7">
        <v>150.30000000000001</v>
      </c>
      <c r="L1739" s="7">
        <v>82.05</v>
      </c>
      <c r="M1739" s="7">
        <v>82.95</v>
      </c>
      <c r="N1739" s="17"/>
      <c r="P1739" s="17"/>
      <c r="Q1739" s="7">
        <f t="shared" si="118"/>
        <v>0</v>
      </c>
      <c r="R1739" s="18"/>
      <c r="S1739" s="99"/>
      <c r="T1739" s="18"/>
      <c r="U1739" s="101"/>
      <c r="V1739" s="16"/>
      <c r="W1739" s="66">
        <v>0.52013888888888882</v>
      </c>
      <c r="X1739" s="7">
        <v>38.5</v>
      </c>
      <c r="Y1739" s="7">
        <v>78.08</v>
      </c>
      <c r="Z1739" s="66">
        <v>0.52013888888888882</v>
      </c>
    </row>
    <row r="1740" spans="2:26" x14ac:dyDescent="0.3">
      <c r="B1740" s="97">
        <v>14750</v>
      </c>
      <c r="C1740" s="7">
        <v>94.75</v>
      </c>
      <c r="D1740" s="7">
        <v>93.8</v>
      </c>
      <c r="E1740" s="16"/>
      <c r="F1740" s="7">
        <f t="shared" si="117"/>
        <v>14656.2</v>
      </c>
      <c r="G1740" s="17"/>
      <c r="H1740" s="7">
        <v>120.35</v>
      </c>
      <c r="I1740" s="7">
        <v>107.95</v>
      </c>
      <c r="J1740" s="7">
        <v>90.7</v>
      </c>
      <c r="K1740" s="7">
        <v>124.1</v>
      </c>
      <c r="L1740" s="7">
        <v>65.3</v>
      </c>
      <c r="M1740" s="7">
        <v>65.849999999999994</v>
      </c>
      <c r="N1740" s="17"/>
      <c r="P1740" s="17"/>
      <c r="Q1740" s="5" t="s">
        <v>112</v>
      </c>
      <c r="R1740" s="30">
        <f>SUM(Q1736:Q1739)</f>
        <v>-3637.4999999999991</v>
      </c>
      <c r="S1740" s="5">
        <f>SUM(S1736:S1739)</f>
        <v>150</v>
      </c>
      <c r="T1740" s="5">
        <f>(R1740/S1740)*2</f>
        <v>-48.499999999999986</v>
      </c>
      <c r="U1740" s="100"/>
      <c r="V1740" s="17"/>
      <c r="W1740" s="66">
        <v>0.54097222222222219</v>
      </c>
      <c r="X1740" s="7">
        <v>46.6</v>
      </c>
      <c r="Y1740" s="7">
        <v>64.5</v>
      </c>
      <c r="Z1740" s="66">
        <v>0.54097222222222219</v>
      </c>
    </row>
    <row r="1741" spans="2:26" x14ac:dyDescent="0.3">
      <c r="B1741" s="14">
        <f>B1740-50</f>
        <v>14700</v>
      </c>
      <c r="C1741" s="7">
        <v>78.150000000000006</v>
      </c>
      <c r="D1741" s="23">
        <v>77.400000000000006</v>
      </c>
      <c r="E1741" s="16"/>
      <c r="F1741" s="98">
        <f t="shared" si="117"/>
        <v>14622.6</v>
      </c>
      <c r="G1741" s="17"/>
      <c r="H1741" s="7">
        <v>100.4</v>
      </c>
      <c r="I1741" s="7">
        <v>89.2</v>
      </c>
      <c r="J1741" s="7">
        <v>74.400000000000006</v>
      </c>
      <c r="K1741" s="7">
        <v>102.65</v>
      </c>
      <c r="L1741" s="7">
        <v>51.65</v>
      </c>
      <c r="M1741" s="7">
        <v>51.9</v>
      </c>
      <c r="N1741" s="17"/>
      <c r="P1741" s="17"/>
      <c r="Q1741" s="17"/>
      <c r="R1741" s="17"/>
      <c r="S1741" s="17"/>
      <c r="T1741" s="17"/>
      <c r="U1741" s="17"/>
      <c r="V1741" s="17"/>
      <c r="W1741" s="66">
        <v>6.1805555555555558E-2</v>
      </c>
      <c r="X1741" s="7">
        <v>49</v>
      </c>
      <c r="Y1741" s="7">
        <v>56.8</v>
      </c>
      <c r="Z1741" s="66">
        <v>6.1805555555555558E-2</v>
      </c>
    </row>
    <row r="1742" spans="2:26" x14ac:dyDescent="0.3">
      <c r="B1742" s="99">
        <f>B1741-50</f>
        <v>14650</v>
      </c>
      <c r="C1742" s="51">
        <v>64.2</v>
      </c>
      <c r="D1742" s="7">
        <v>63.7</v>
      </c>
      <c r="E1742" s="16"/>
      <c r="F1742" s="7">
        <f t="shared" si="117"/>
        <v>14586.3</v>
      </c>
      <c r="G1742" s="16">
        <f>AVERAGE(H1739:H1742)</f>
        <v>111.9375</v>
      </c>
      <c r="H1742" s="51">
        <v>82.85</v>
      </c>
      <c r="I1742" s="7">
        <v>73.25</v>
      </c>
      <c r="J1742" s="7">
        <v>60.9</v>
      </c>
      <c r="K1742" s="7">
        <v>83.85</v>
      </c>
      <c r="L1742" s="7">
        <v>41</v>
      </c>
      <c r="M1742" s="7">
        <v>40.75</v>
      </c>
      <c r="N1742" s="17"/>
      <c r="P1742" s="17"/>
      <c r="Q1742" s="17"/>
      <c r="R1742" s="17"/>
      <c r="S1742" s="17"/>
      <c r="T1742" s="17"/>
      <c r="U1742" s="17"/>
      <c r="V1742" s="17"/>
      <c r="W1742" s="66">
        <v>8.2638888888888887E-2</v>
      </c>
      <c r="X1742" s="7">
        <v>51.2</v>
      </c>
      <c r="Y1742" s="7">
        <v>50.7</v>
      </c>
      <c r="Z1742" s="66">
        <v>8.2638888888888887E-2</v>
      </c>
    </row>
    <row r="1743" spans="2:26" x14ac:dyDescent="0.3">
      <c r="B1743" s="5">
        <f>B1742-50</f>
        <v>14600</v>
      </c>
      <c r="C1743" s="7">
        <v>52.25</v>
      </c>
      <c r="D1743" s="7">
        <v>52</v>
      </c>
      <c r="E1743" s="16"/>
      <c r="F1743" s="7">
        <f t="shared" si="117"/>
        <v>14548</v>
      </c>
      <c r="G1743" s="16">
        <f>AVERAGE(G1742,H1739)</f>
        <v>128.04374999999999</v>
      </c>
      <c r="H1743" s="7">
        <v>68.2</v>
      </c>
      <c r="I1743" s="7">
        <v>60</v>
      </c>
      <c r="J1743" s="7">
        <v>49.65</v>
      </c>
      <c r="K1743" s="7">
        <v>68.650000000000006</v>
      </c>
      <c r="L1743" s="7">
        <v>32.35</v>
      </c>
      <c r="M1743" s="7">
        <v>32.6</v>
      </c>
      <c r="N1743" s="17"/>
      <c r="P1743" s="98">
        <f>SUM(R1734,R1740)</f>
        <v>-3637.4999999999991</v>
      </c>
      <c r="Q1743" s="92" t="s">
        <v>72</v>
      </c>
      <c r="R1743" s="17"/>
      <c r="S1743" s="92" t="s">
        <v>73</v>
      </c>
      <c r="T1743" s="7">
        <f>((X1735+Y1735)-(X1743+Y1743))</f>
        <v>-17.400000000000006</v>
      </c>
      <c r="U1743" s="7"/>
      <c r="V1743" s="98">
        <f>T1743*M1724</f>
        <v>-2610.0000000000009</v>
      </c>
      <c r="W1743" s="66">
        <v>0.45555555555555555</v>
      </c>
      <c r="X1743" s="7">
        <v>67.3</v>
      </c>
      <c r="Y1743" s="23">
        <v>82.55</v>
      </c>
      <c r="Z1743" s="66">
        <v>0.4368055555555555</v>
      </c>
    </row>
    <row r="1755" spans="2:26" x14ac:dyDescent="0.3">
      <c r="B1755" s="40"/>
      <c r="C1755" s="50">
        <f>AVERAGE(B1756,D1755)</f>
        <v>14755.5</v>
      </c>
      <c r="D1755" s="51">
        <f>B1756+E1756</f>
        <v>14790.5</v>
      </c>
      <c r="E1755" s="50">
        <f>AVERAGE(D1755,F1755)</f>
        <v>14825.5</v>
      </c>
      <c r="F1755" s="50">
        <f>D1755+E1756</f>
        <v>14860.5</v>
      </c>
      <c r="G1755" s="17"/>
      <c r="H1755" s="88" t="str">
        <f>IF((C1764-D1764)&gt;(C1773-D1773),"LONG",IF(C1773&gt;D1771,"LONG","SHORT"))</f>
        <v>SHORT</v>
      </c>
      <c r="I1755" s="104">
        <v>14710</v>
      </c>
      <c r="J1755" s="105" t="s">
        <v>122</v>
      </c>
      <c r="K1755" s="106">
        <v>14762</v>
      </c>
      <c r="L1755" s="17"/>
      <c r="M1755" s="94">
        <f>(147000)/4</f>
        <v>36750</v>
      </c>
      <c r="N1755" s="17"/>
      <c r="P1755" s="16"/>
      <c r="Q1755" s="149" t="s">
        <v>71</v>
      </c>
      <c r="R1755" s="149"/>
      <c r="S1755" s="149" t="s">
        <v>37</v>
      </c>
      <c r="T1755" s="149"/>
      <c r="U1755" s="89"/>
      <c r="V1755" s="17"/>
      <c r="W1755" s="90" t="s">
        <v>68</v>
      </c>
      <c r="X1755" s="91" t="s">
        <v>69</v>
      </c>
      <c r="Y1755" s="92" t="s">
        <v>70</v>
      </c>
      <c r="Z1755" s="90" t="s">
        <v>68</v>
      </c>
    </row>
    <row r="1756" spans="2:26" x14ac:dyDescent="0.3">
      <c r="B1756" s="50">
        <v>14720.5</v>
      </c>
      <c r="C1756" s="40"/>
      <c r="D1756" s="58"/>
      <c r="E1756" s="59">
        <f>ROUND((((B1756*F1756%)/4)/10),0)*10</f>
        <v>70</v>
      </c>
      <c r="F1756" s="51">
        <f>(100/B1756)*(F1765-F1774)</f>
        <v>2.0274447199483765</v>
      </c>
      <c r="G1756" s="17"/>
      <c r="H1756" s="93">
        <v>0.39166666666666666</v>
      </c>
      <c r="I1756" s="93">
        <v>0.39861111111111108</v>
      </c>
      <c r="J1756" s="93">
        <v>0.4055555555555555</v>
      </c>
      <c r="K1756" s="93">
        <v>0.41250000000000003</v>
      </c>
      <c r="L1756" s="17"/>
      <c r="N1756" s="17"/>
      <c r="P1756" s="16"/>
      <c r="Q1756" s="51">
        <f>R1756-(S1756-R1756)</f>
        <v>14079.900000000001</v>
      </c>
      <c r="R1756" s="51">
        <v>14475.6</v>
      </c>
      <c r="S1756" s="51">
        <v>14871.3</v>
      </c>
      <c r="T1756" s="51">
        <f>S1756+(S1756-R1756)</f>
        <v>15266.999999999998</v>
      </c>
      <c r="U1756" s="62"/>
      <c r="V1756" s="17"/>
      <c r="W1756" s="66">
        <v>0.41597222222222219</v>
      </c>
      <c r="X1756" s="7">
        <v>105.8</v>
      </c>
      <c r="Y1756" s="7">
        <v>107.1</v>
      </c>
      <c r="Z1756" s="66">
        <v>0.41597222222222219</v>
      </c>
    </row>
    <row r="1757" spans="2:26" x14ac:dyDescent="0.3">
      <c r="B1757" s="40"/>
      <c r="C1757" s="50">
        <f>AVERAGE(B1756,D1757)</f>
        <v>14685.5</v>
      </c>
      <c r="D1757" s="51">
        <f>B1756-E1756</f>
        <v>14650.5</v>
      </c>
      <c r="E1757" s="50">
        <f>AVERAGE(D1757,F1757)</f>
        <v>14615.5</v>
      </c>
      <c r="F1757" s="50">
        <f>D1757-E1756</f>
        <v>14580.5</v>
      </c>
      <c r="G1757" s="17"/>
      <c r="H1757" s="51">
        <v>14740</v>
      </c>
      <c r="I1757" s="51">
        <v>14730.05</v>
      </c>
      <c r="J1757" s="51">
        <v>14738</v>
      </c>
      <c r="K1757" s="51">
        <v>14729</v>
      </c>
      <c r="L1757" s="17"/>
      <c r="M1757" s="94">
        <f>ROUND((M1755/AVERAGE(F1768,F1770))/225,0)*75</f>
        <v>225</v>
      </c>
      <c r="N1757" s="17"/>
      <c r="P1757" s="16"/>
      <c r="Q1757" s="17"/>
      <c r="R1757" s="17"/>
      <c r="S1757" s="17"/>
      <c r="T1757" s="16"/>
      <c r="U1757" s="16"/>
      <c r="V1757" s="17"/>
      <c r="W1757" s="66">
        <v>0.4368055555555555</v>
      </c>
      <c r="X1757" s="7">
        <v>78.7</v>
      </c>
      <c r="Y1757" s="7">
        <v>165.2</v>
      </c>
      <c r="Z1757" s="66">
        <v>0.4368055555555555</v>
      </c>
    </row>
    <row r="1758" spans="2:26" x14ac:dyDescent="0.3">
      <c r="B1758" s="17"/>
      <c r="C1758" s="17"/>
      <c r="D1758" s="17"/>
      <c r="E1758" s="17"/>
      <c r="F1758" s="16"/>
      <c r="G1758" s="16"/>
      <c r="H1758" s="17"/>
      <c r="I1758" s="17"/>
      <c r="J1758" s="17"/>
      <c r="K1758" s="16"/>
      <c r="L1758" s="17"/>
      <c r="M1758" s="17"/>
      <c r="N1758" s="17"/>
      <c r="P1758" s="16"/>
      <c r="Q1758" s="17"/>
      <c r="R1758" s="17"/>
      <c r="S1758" s="17"/>
      <c r="T1758" s="17"/>
      <c r="U1758" s="17"/>
      <c r="V1758" s="17"/>
      <c r="W1758" s="66">
        <v>0.45763888888888887</v>
      </c>
      <c r="X1758" s="7">
        <v>68.8</v>
      </c>
      <c r="Y1758" s="7">
        <v>172.2</v>
      </c>
      <c r="Z1758" s="66">
        <v>0.45763888888888887</v>
      </c>
    </row>
    <row r="1759" spans="2:26" x14ac:dyDescent="0.3">
      <c r="B1759" s="16"/>
      <c r="C1759" s="17"/>
      <c r="D1759" s="17"/>
      <c r="E1759" s="17"/>
      <c r="F1759" s="17"/>
      <c r="G1759" s="17"/>
      <c r="H1759" s="17"/>
      <c r="I1759" s="17"/>
      <c r="J1759" s="17"/>
      <c r="K1759" s="17"/>
      <c r="L1759" s="16"/>
      <c r="M1759" s="17"/>
      <c r="N1759" s="17"/>
      <c r="P1759" s="16"/>
      <c r="Q1759" s="17"/>
      <c r="R1759" s="17"/>
      <c r="S1759" s="17"/>
      <c r="T1759" s="17"/>
      <c r="U1759" s="17"/>
      <c r="V1759" s="17"/>
      <c r="W1759" s="66">
        <v>0.47847222222222219</v>
      </c>
      <c r="X1759" s="7">
        <v>53.2</v>
      </c>
      <c r="Y1759" s="7">
        <v>200.15</v>
      </c>
      <c r="Z1759" s="66">
        <v>0.47847222222222219</v>
      </c>
    </row>
    <row r="1760" spans="2:26" x14ac:dyDescent="0.3">
      <c r="B1760" s="17"/>
      <c r="C1760" s="95">
        <v>44279</v>
      </c>
      <c r="D1760" s="17"/>
      <c r="E1760" s="17"/>
      <c r="F1760" s="7">
        <f>AVERAGE(F1762,F1771)</f>
        <v>14722.15</v>
      </c>
      <c r="G1760" s="96"/>
      <c r="H1760" s="66">
        <v>0.4201388888888889</v>
      </c>
      <c r="I1760" s="66">
        <v>0.4291666666666667</v>
      </c>
      <c r="J1760" s="66">
        <v>0.47847222222222219</v>
      </c>
      <c r="K1760" s="66"/>
      <c r="L1760" s="66"/>
      <c r="M1760" s="66">
        <v>0.13541666666666666</v>
      </c>
      <c r="N1760" s="17"/>
      <c r="P1760" s="16"/>
      <c r="Q1760" s="17"/>
      <c r="R1760" s="17"/>
      <c r="S1760" s="17"/>
      <c r="T1760" s="17"/>
      <c r="U1760" s="17"/>
      <c r="V1760" s="17"/>
      <c r="W1760" s="66">
        <v>0.4993055555555555</v>
      </c>
      <c r="X1760" s="7">
        <v>62.05</v>
      </c>
      <c r="Y1760" s="7">
        <v>165</v>
      </c>
      <c r="Z1760" s="66">
        <v>0.4993055555555555</v>
      </c>
    </row>
    <row r="1761" spans="2:26" x14ac:dyDescent="0.3">
      <c r="B1761" s="90" t="s">
        <v>68</v>
      </c>
      <c r="C1761" s="66">
        <v>0.41666666666666669</v>
      </c>
      <c r="D1761" s="66">
        <v>0.41319444444444442</v>
      </c>
      <c r="E1761" s="17"/>
      <c r="F1761" s="17"/>
      <c r="G1761" s="17"/>
      <c r="H1761" s="7">
        <v>14695.3</v>
      </c>
      <c r="I1761" s="7">
        <v>14643.95</v>
      </c>
      <c r="J1761" s="23">
        <v>20.5</v>
      </c>
      <c r="K1761" s="7"/>
      <c r="L1761" s="7"/>
      <c r="M1761" s="7">
        <v>14554.65</v>
      </c>
      <c r="N1761" s="17"/>
      <c r="P1761" s="16"/>
      <c r="Q1761" s="145" t="s">
        <v>72</v>
      </c>
      <c r="R1761" s="145"/>
      <c r="S1761" s="145"/>
      <c r="T1761" s="145"/>
      <c r="U1761" s="83"/>
      <c r="V1761" s="17"/>
      <c r="W1761" s="66">
        <v>0.52013888888888882</v>
      </c>
      <c r="X1761" s="7">
        <v>63.05</v>
      </c>
      <c r="Y1761" s="7">
        <v>155.65</v>
      </c>
      <c r="Z1761" s="66">
        <v>0.52013888888888882</v>
      </c>
    </row>
    <row r="1762" spans="2:26" x14ac:dyDescent="0.3">
      <c r="B1762" s="5">
        <f>B1763-50</f>
        <v>14650</v>
      </c>
      <c r="C1762" s="7">
        <v>136.75</v>
      </c>
      <c r="D1762" s="7">
        <v>136.30000000000001</v>
      </c>
      <c r="E1762" s="16"/>
      <c r="F1762" s="7">
        <f t="shared" ref="F1762:F1767" si="119">B1762+D1762</f>
        <v>14786.3</v>
      </c>
      <c r="G1762" s="16">
        <f>AVERAGE(G1763,H1771)</f>
        <v>108.65</v>
      </c>
      <c r="H1762" s="7">
        <v>121.8</v>
      </c>
      <c r="I1762" s="7">
        <v>101.7</v>
      </c>
      <c r="J1762" s="7">
        <v>71.849999999999994</v>
      </c>
      <c r="K1762" s="7"/>
      <c r="L1762" s="7"/>
      <c r="M1762" s="7">
        <v>37.35</v>
      </c>
      <c r="N1762" s="17"/>
      <c r="P1762" s="16"/>
      <c r="Q1762" s="26"/>
      <c r="R1762" s="34" t="s">
        <v>2</v>
      </c>
      <c r="S1762" s="34" t="s">
        <v>111</v>
      </c>
      <c r="T1762" s="34" t="s">
        <v>1</v>
      </c>
      <c r="U1762" s="84"/>
      <c r="V1762" s="17"/>
      <c r="W1762" s="66">
        <v>0.54097222222222219</v>
      </c>
      <c r="X1762" s="7">
        <v>52.2</v>
      </c>
      <c r="Y1762" s="7">
        <v>171.95</v>
      </c>
      <c r="Z1762" s="66">
        <v>0.54097222222222219</v>
      </c>
    </row>
    <row r="1763" spans="2:26" x14ac:dyDescent="0.3">
      <c r="B1763" s="5">
        <f>B1764-50</f>
        <v>14700</v>
      </c>
      <c r="C1763" s="7">
        <v>105.8</v>
      </c>
      <c r="D1763" s="7">
        <v>105.35</v>
      </c>
      <c r="E1763" s="16"/>
      <c r="F1763" s="7">
        <f t="shared" si="119"/>
        <v>14805.35</v>
      </c>
      <c r="G1763" s="16">
        <f>H1763</f>
        <v>92.95</v>
      </c>
      <c r="H1763" s="7">
        <v>92.95</v>
      </c>
      <c r="I1763" s="7">
        <v>77.349999999999994</v>
      </c>
      <c r="J1763" s="7">
        <v>53.2</v>
      </c>
      <c r="K1763" s="7"/>
      <c r="L1763" s="7"/>
      <c r="M1763" s="7">
        <v>24.55</v>
      </c>
      <c r="N1763" s="17"/>
      <c r="P1763" s="16"/>
      <c r="Q1763" s="7">
        <f>(T1763-R1763)*S1763</f>
        <v>0</v>
      </c>
      <c r="R1763" s="7"/>
      <c r="S1763" s="5"/>
      <c r="T1763" s="7"/>
      <c r="U1763" s="70"/>
      <c r="V1763" s="17"/>
      <c r="W1763" s="66">
        <v>6.1805555555555558E-2</v>
      </c>
      <c r="X1763" s="7">
        <v>57.2</v>
      </c>
      <c r="Y1763" s="7">
        <v>152.30000000000001</v>
      </c>
      <c r="Z1763" s="66">
        <v>6.1805555555555558E-2</v>
      </c>
    </row>
    <row r="1764" spans="2:26" x14ac:dyDescent="0.3">
      <c r="B1764" s="97">
        <v>14750</v>
      </c>
      <c r="C1764" s="7">
        <v>79.75</v>
      </c>
      <c r="D1764" s="7">
        <v>79</v>
      </c>
      <c r="E1764" s="16"/>
      <c r="F1764" s="7">
        <f t="shared" si="119"/>
        <v>14829</v>
      </c>
      <c r="G1764" s="17"/>
      <c r="H1764" s="7">
        <v>69.05</v>
      </c>
      <c r="I1764" s="7">
        <v>57.35</v>
      </c>
      <c r="J1764" s="7">
        <v>38.5</v>
      </c>
      <c r="K1764" s="7"/>
      <c r="L1764" s="7"/>
      <c r="M1764" s="7">
        <v>15.8</v>
      </c>
      <c r="N1764" s="17"/>
      <c r="P1764" s="16"/>
      <c r="Q1764" s="7">
        <f>(T1764-R1764)*S1764</f>
        <v>0</v>
      </c>
      <c r="R1764" s="7"/>
      <c r="S1764" s="5"/>
      <c r="T1764" s="7"/>
      <c r="U1764" s="70"/>
      <c r="V1764" s="17"/>
      <c r="W1764" s="66">
        <v>8.2638888888888887E-2</v>
      </c>
      <c r="X1764" s="7">
        <v>55.8</v>
      </c>
      <c r="Y1764" s="7">
        <v>151.9</v>
      </c>
      <c r="Z1764" s="66">
        <v>8.2638888888888887E-2</v>
      </c>
    </row>
    <row r="1765" spans="2:26" x14ac:dyDescent="0.3">
      <c r="B1765" s="5">
        <f>B1764+50</f>
        <v>14800</v>
      </c>
      <c r="C1765" s="7">
        <v>57.45</v>
      </c>
      <c r="D1765" s="23">
        <v>57</v>
      </c>
      <c r="E1765" s="16"/>
      <c r="F1765" s="98">
        <f t="shared" si="119"/>
        <v>14857</v>
      </c>
      <c r="G1765" s="17"/>
      <c r="H1765" s="7">
        <v>49.55</v>
      </c>
      <c r="I1765" s="7">
        <v>41.4</v>
      </c>
      <c r="J1765" s="7">
        <v>27.8</v>
      </c>
      <c r="K1765" s="7"/>
      <c r="L1765" s="7"/>
      <c r="M1765" s="7">
        <v>10.5</v>
      </c>
      <c r="N1765" s="17"/>
      <c r="P1765" s="16"/>
      <c r="Q1765" s="7">
        <f>(T1765-R1765)*S1765</f>
        <v>0</v>
      </c>
      <c r="R1765" s="7"/>
      <c r="S1765" s="5"/>
      <c r="T1765" s="7"/>
      <c r="U1765" s="101"/>
      <c r="V1765" s="17"/>
      <c r="W1765" s="17"/>
      <c r="X1765" s="17"/>
      <c r="Y1765" s="17"/>
      <c r="Z1765" s="17"/>
    </row>
    <row r="1766" spans="2:26" x14ac:dyDescent="0.3">
      <c r="B1766" s="99">
        <f>B1765+50</f>
        <v>14850</v>
      </c>
      <c r="C1766" s="51">
        <v>39.9</v>
      </c>
      <c r="D1766" s="7">
        <v>39.549999999999997</v>
      </c>
      <c r="E1766" s="16"/>
      <c r="F1766" s="7">
        <f t="shared" si="119"/>
        <v>14889.55</v>
      </c>
      <c r="G1766" s="17"/>
      <c r="H1766" s="7">
        <v>34.25</v>
      </c>
      <c r="I1766" s="7">
        <v>29.35</v>
      </c>
      <c r="J1766" s="7">
        <v>20</v>
      </c>
      <c r="K1766" s="7"/>
      <c r="L1766" s="7"/>
      <c r="M1766" s="7">
        <v>7.15</v>
      </c>
      <c r="N1766" s="17"/>
      <c r="P1766" s="17"/>
      <c r="Q1766" s="7">
        <f>(T1766-R1766)*S1766</f>
        <v>0</v>
      </c>
      <c r="R1766" s="7"/>
      <c r="S1766" s="5"/>
      <c r="T1766" s="7"/>
      <c r="U1766" s="101"/>
      <c r="V1766" s="17"/>
      <c r="W1766" s="90" t="s">
        <v>68</v>
      </c>
      <c r="X1766" s="91" t="s">
        <v>69</v>
      </c>
      <c r="Y1766" s="92" t="s">
        <v>70</v>
      </c>
      <c r="Z1766" s="90" t="s">
        <v>68</v>
      </c>
    </row>
    <row r="1767" spans="2:26" x14ac:dyDescent="0.3">
      <c r="B1767" s="5">
        <f>B1766+50</f>
        <v>14900</v>
      </c>
      <c r="C1767" s="7">
        <v>27</v>
      </c>
      <c r="D1767" s="7">
        <v>26.85</v>
      </c>
      <c r="E1767" s="16">
        <f>E1768-(F1768-E1768)</f>
        <v>16.300000000000011</v>
      </c>
      <c r="F1767" s="7">
        <f t="shared" si="119"/>
        <v>14926.85</v>
      </c>
      <c r="G1767" s="16">
        <f>G1768+(G1768-F1768)</f>
        <v>90.699999999999989</v>
      </c>
      <c r="H1767" s="7">
        <v>23.35</v>
      </c>
      <c r="I1767" s="7">
        <v>20.5</v>
      </c>
      <c r="J1767" s="7">
        <v>14.4</v>
      </c>
      <c r="K1767" s="7"/>
      <c r="L1767" s="7"/>
      <c r="M1767" s="7">
        <v>5.05</v>
      </c>
      <c r="N1767" s="17"/>
      <c r="P1767" s="17"/>
      <c r="Q1767" s="5" t="s">
        <v>112</v>
      </c>
      <c r="R1767" s="30">
        <f>SUM(Q1763:Q1766)</f>
        <v>0</v>
      </c>
      <c r="S1767" s="5">
        <f>SUM(S1763:S1766)</f>
        <v>0</v>
      </c>
      <c r="T1767" s="5" t="e">
        <f>(R1767/S1767)*2</f>
        <v>#DIV/0!</v>
      </c>
      <c r="U1767" s="100"/>
      <c r="V1767" s="17"/>
      <c r="W1767" s="66">
        <v>0.41597222222222219</v>
      </c>
      <c r="X1767" s="7">
        <v>39.9</v>
      </c>
      <c r="Y1767" s="7">
        <v>49.55</v>
      </c>
      <c r="Z1767" s="66">
        <v>0.41597222222222219</v>
      </c>
    </row>
    <row r="1768" spans="2:26" x14ac:dyDescent="0.3">
      <c r="B1768" s="17"/>
      <c r="C1768" s="17"/>
      <c r="D1768" s="16"/>
      <c r="E1768" s="16">
        <f>F1768-(G1768-F1768)</f>
        <v>34.900000000000006</v>
      </c>
      <c r="F1768" s="16">
        <f>AVERAGE(C1765,C1774)</f>
        <v>53.5</v>
      </c>
      <c r="G1768" s="16">
        <f>AVERAGE(C1764,C1773)</f>
        <v>72.099999999999994</v>
      </c>
      <c r="H1768" s="17"/>
      <c r="I1768" s="81"/>
      <c r="J1768" s="17"/>
      <c r="K1768" s="76"/>
      <c r="L1768" s="17"/>
      <c r="M1768" s="17"/>
      <c r="N1768" s="17"/>
      <c r="P1768" s="17"/>
      <c r="Q1768" s="17"/>
      <c r="R1768" s="17"/>
      <c r="S1768" s="17"/>
      <c r="T1768" s="17"/>
      <c r="U1768" s="17"/>
      <c r="V1768" s="16"/>
      <c r="W1768" s="66">
        <v>0.4368055555555555</v>
      </c>
      <c r="X1768" s="7">
        <v>30.15</v>
      </c>
      <c r="Y1768" s="7">
        <v>86.3</v>
      </c>
      <c r="Z1768" s="66">
        <v>0.4368055555555555</v>
      </c>
    </row>
    <row r="1769" spans="2:26" x14ac:dyDescent="0.3">
      <c r="B1769" s="17"/>
      <c r="C1769" s="95">
        <v>44280</v>
      </c>
      <c r="D1769" s="17"/>
      <c r="F1769" s="16"/>
      <c r="H1769" s="66">
        <v>0.4201388888888889</v>
      </c>
      <c r="I1769" s="66">
        <v>0.4291666666666667</v>
      </c>
      <c r="J1769" s="66">
        <v>0.47847222222222219</v>
      </c>
      <c r="K1769" s="66"/>
      <c r="L1769" s="66"/>
      <c r="M1769" s="66">
        <v>0.13541666666666666</v>
      </c>
      <c r="P1769" s="17"/>
      <c r="Q1769" s="7">
        <f>(T1769-R1769)*S1769</f>
        <v>1709.9999999999998</v>
      </c>
      <c r="R1769" s="18">
        <v>59</v>
      </c>
      <c r="S1769" s="5">
        <v>75</v>
      </c>
      <c r="T1769" s="7">
        <v>81.8</v>
      </c>
      <c r="U1769" s="70"/>
      <c r="V1769" s="17"/>
      <c r="W1769" s="66">
        <v>0.45763888888888887</v>
      </c>
      <c r="X1769" s="7">
        <v>26</v>
      </c>
      <c r="Y1769" s="7">
        <v>89.2</v>
      </c>
      <c r="Z1769" s="66">
        <v>0.45763888888888887</v>
      </c>
    </row>
    <row r="1770" spans="2:26" x14ac:dyDescent="0.3">
      <c r="B1770" s="90" t="s">
        <v>68</v>
      </c>
      <c r="C1770" s="66">
        <v>0.41666666666666669</v>
      </c>
      <c r="D1770" s="66">
        <v>0.40347222222222223</v>
      </c>
      <c r="E1770" s="16">
        <f>F1770-(G1770-F1770)</f>
        <v>40.075000000000003</v>
      </c>
      <c r="F1770" s="16">
        <f>AVERAGE(C1773,C1765)</f>
        <v>60.95</v>
      </c>
      <c r="G1770" s="16">
        <f>AVERAGE(C1772,C1764)</f>
        <v>81.825000000000003</v>
      </c>
      <c r="H1770" s="23">
        <v>60.95</v>
      </c>
      <c r="I1770" s="23">
        <v>81.8</v>
      </c>
      <c r="J1770" s="7">
        <v>14589.4</v>
      </c>
      <c r="K1770" s="23"/>
      <c r="L1770" s="7"/>
      <c r="M1770" s="7">
        <v>14554.65</v>
      </c>
      <c r="P1770" s="17"/>
      <c r="Q1770" s="7">
        <f>(T1770-R1770)*S1770</f>
        <v>3142.5000000000005</v>
      </c>
      <c r="R1770" s="18">
        <v>59</v>
      </c>
      <c r="S1770" s="5">
        <v>75</v>
      </c>
      <c r="T1770" s="7">
        <v>100.9</v>
      </c>
      <c r="U1770" s="70"/>
      <c r="V1770" s="17"/>
      <c r="W1770" s="66">
        <v>0.47847222222222219</v>
      </c>
      <c r="X1770" s="7">
        <v>20</v>
      </c>
      <c r="Y1770" s="7">
        <v>105.7</v>
      </c>
      <c r="Z1770" s="66">
        <v>0.47847222222222219</v>
      </c>
    </row>
    <row r="1771" spans="2:26" x14ac:dyDescent="0.3">
      <c r="B1771" s="5">
        <f>B1772+50</f>
        <v>14750</v>
      </c>
      <c r="C1771" s="7">
        <v>107.1</v>
      </c>
      <c r="D1771" s="7">
        <v>92</v>
      </c>
      <c r="E1771" s="16">
        <f>E1770-(F1770-E1770)</f>
        <v>19.200000000000003</v>
      </c>
      <c r="F1771" s="7">
        <f t="shared" ref="F1771:F1776" si="120">B1771-D1771</f>
        <v>14658</v>
      </c>
      <c r="G1771" s="16">
        <f>G1770+(G1770-F1770)</f>
        <v>102.7</v>
      </c>
      <c r="H1771" s="7">
        <v>124.35</v>
      </c>
      <c r="I1771" s="7">
        <v>165.7</v>
      </c>
      <c r="J1771" s="7">
        <v>200.15</v>
      </c>
      <c r="K1771" s="7"/>
      <c r="L1771" s="7"/>
      <c r="M1771" s="7">
        <v>211</v>
      </c>
      <c r="N1771" s="17"/>
      <c r="P1771" s="17"/>
      <c r="Q1771" s="7">
        <f t="shared" ref="Q1771:Q1772" si="121">(T1771-R1771)*S1771</f>
        <v>0</v>
      </c>
      <c r="R1771" s="18"/>
      <c r="S1771" s="99"/>
      <c r="T1771" s="18"/>
      <c r="U1771" s="101"/>
      <c r="V1771" s="16"/>
      <c r="W1771" s="66">
        <v>0.4993055555555555</v>
      </c>
      <c r="X1771" s="7">
        <v>22.05</v>
      </c>
      <c r="Y1771" s="7">
        <v>80.650000000000006</v>
      </c>
      <c r="Z1771" s="66">
        <v>0.4993055555555555</v>
      </c>
    </row>
    <row r="1772" spans="2:26" x14ac:dyDescent="0.3">
      <c r="B1772" s="5">
        <f>B1773+50</f>
        <v>14700</v>
      </c>
      <c r="C1772" s="7">
        <v>83.9</v>
      </c>
      <c r="D1772" s="7">
        <v>70.75</v>
      </c>
      <c r="E1772" s="16"/>
      <c r="F1772" s="7">
        <f t="shared" si="120"/>
        <v>14629.25</v>
      </c>
      <c r="G1772" s="17"/>
      <c r="H1772" s="7">
        <v>98.4</v>
      </c>
      <c r="I1772" s="7">
        <v>134.69999999999999</v>
      </c>
      <c r="J1772" s="7">
        <v>164</v>
      </c>
      <c r="K1772" s="7"/>
      <c r="L1772" s="7"/>
      <c r="M1772" s="7">
        <v>170</v>
      </c>
      <c r="N1772" s="17"/>
      <c r="P1772" s="17"/>
      <c r="Q1772" s="7">
        <f t="shared" si="121"/>
        <v>0</v>
      </c>
      <c r="R1772" s="18"/>
      <c r="S1772" s="99"/>
      <c r="T1772" s="18"/>
      <c r="U1772" s="101"/>
      <c r="V1772" s="16"/>
      <c r="W1772" s="66">
        <v>0.52013888888888882</v>
      </c>
      <c r="X1772" s="7">
        <v>20.9</v>
      </c>
      <c r="Y1772" s="7">
        <v>75.3</v>
      </c>
      <c r="Z1772" s="66">
        <v>0.52013888888888882</v>
      </c>
    </row>
    <row r="1773" spans="2:26" x14ac:dyDescent="0.3">
      <c r="B1773" s="97">
        <v>14650</v>
      </c>
      <c r="C1773" s="7">
        <v>64.45</v>
      </c>
      <c r="D1773" s="23">
        <v>54.6</v>
      </c>
      <c r="E1773" s="16"/>
      <c r="F1773" s="7">
        <f t="shared" si="120"/>
        <v>14595.4</v>
      </c>
      <c r="G1773" s="17"/>
      <c r="H1773" s="7">
        <v>75.849999999999994</v>
      </c>
      <c r="I1773" s="7">
        <v>109</v>
      </c>
      <c r="J1773" s="7">
        <v>132.69999999999999</v>
      </c>
      <c r="K1773" s="7"/>
      <c r="L1773" s="7"/>
      <c r="M1773" s="7">
        <v>133.9</v>
      </c>
      <c r="N1773" s="17"/>
      <c r="P1773" s="17"/>
      <c r="Q1773" s="5" t="s">
        <v>112</v>
      </c>
      <c r="R1773" s="30">
        <f>SUM(Q1769:Q1772)</f>
        <v>4852.5</v>
      </c>
      <c r="S1773" s="5">
        <f>SUM(S1769:S1772)</f>
        <v>150</v>
      </c>
      <c r="T1773" s="5">
        <f>(R1773/S1773)*2</f>
        <v>64.7</v>
      </c>
      <c r="U1773" s="100"/>
      <c r="V1773" s="17"/>
      <c r="W1773" s="66">
        <v>0.54097222222222219</v>
      </c>
      <c r="X1773" s="7">
        <v>16.100000000000001</v>
      </c>
      <c r="Y1773" s="7">
        <v>84.55</v>
      </c>
      <c r="Z1773" s="66">
        <v>0.54097222222222219</v>
      </c>
    </row>
    <row r="1774" spans="2:26" x14ac:dyDescent="0.3">
      <c r="B1774" s="14">
        <f>B1773-50</f>
        <v>14600</v>
      </c>
      <c r="C1774" s="51">
        <v>49.55</v>
      </c>
      <c r="D1774" s="7">
        <v>41.45</v>
      </c>
      <c r="E1774" s="16"/>
      <c r="F1774" s="98">
        <f t="shared" si="120"/>
        <v>14558.55</v>
      </c>
      <c r="G1774" s="17"/>
      <c r="H1774" s="7">
        <v>59</v>
      </c>
      <c r="I1774" s="7">
        <v>85.95</v>
      </c>
      <c r="J1774" s="7">
        <v>105.7</v>
      </c>
      <c r="K1774" s="7"/>
      <c r="L1774" s="7"/>
      <c r="M1774" s="7">
        <v>100.9</v>
      </c>
      <c r="N1774" s="17"/>
      <c r="P1774" s="17"/>
      <c r="Q1774" s="17"/>
      <c r="R1774" s="17"/>
      <c r="S1774" s="17"/>
      <c r="T1774" s="17"/>
      <c r="U1774" s="17"/>
      <c r="V1774" s="17"/>
      <c r="W1774" s="66">
        <v>6.1805555555555558E-2</v>
      </c>
      <c r="X1774" s="7">
        <v>16.8</v>
      </c>
      <c r="Y1774" s="7">
        <v>70.75</v>
      </c>
      <c r="Z1774" s="66">
        <v>6.1805555555555558E-2</v>
      </c>
    </row>
    <row r="1775" spans="2:26" x14ac:dyDescent="0.3">
      <c r="B1775" s="99">
        <f>B1774-50</f>
        <v>14550</v>
      </c>
      <c r="C1775" s="7">
        <v>37.35</v>
      </c>
      <c r="D1775" s="7">
        <v>31.45</v>
      </c>
      <c r="E1775" s="16"/>
      <c r="F1775" s="7">
        <f t="shared" si="120"/>
        <v>14518.55</v>
      </c>
      <c r="G1775" s="16">
        <f>AVERAGE(G1776,H1771)</f>
        <v>106.875</v>
      </c>
      <c r="H1775" s="7">
        <v>44.8</v>
      </c>
      <c r="I1775" s="7">
        <v>68</v>
      </c>
      <c r="J1775" s="7">
        <v>82.6</v>
      </c>
      <c r="K1775" s="7"/>
      <c r="L1775" s="7"/>
      <c r="M1775" s="7">
        <v>74.650000000000006</v>
      </c>
      <c r="N1775" s="17"/>
      <c r="P1775" s="17"/>
      <c r="Q1775" s="17"/>
      <c r="R1775" s="17"/>
      <c r="S1775" s="17"/>
      <c r="T1775" s="17"/>
      <c r="U1775" s="17"/>
      <c r="V1775" s="17"/>
      <c r="W1775" s="66">
        <v>8.2638888888888887E-2</v>
      </c>
      <c r="X1775" s="7">
        <v>16</v>
      </c>
      <c r="Y1775" s="7">
        <v>69.8</v>
      </c>
      <c r="Z1775" s="66">
        <v>8.2638888888888887E-2</v>
      </c>
    </row>
    <row r="1776" spans="2:26" x14ac:dyDescent="0.3">
      <c r="B1776" s="5">
        <f>B1775-50</f>
        <v>14500</v>
      </c>
      <c r="C1776" s="7">
        <v>28.8</v>
      </c>
      <c r="D1776" s="7">
        <v>24.15</v>
      </c>
      <c r="E1776" s="16"/>
      <c r="F1776" s="7">
        <f t="shared" si="120"/>
        <v>14475.85</v>
      </c>
      <c r="G1776" s="16">
        <f>AVERAGE(H1771:H1774)</f>
        <v>89.4</v>
      </c>
      <c r="H1776" s="7">
        <v>34.35</v>
      </c>
      <c r="I1776" s="7">
        <v>52.85</v>
      </c>
      <c r="J1776" s="7">
        <v>64.05</v>
      </c>
      <c r="K1776" s="7"/>
      <c r="L1776" s="7"/>
      <c r="M1776" s="7">
        <v>54.3</v>
      </c>
      <c r="N1776" s="17"/>
      <c r="P1776" s="98">
        <f>SUM(R1767,R1773)</f>
        <v>4852.5</v>
      </c>
      <c r="Q1776" s="92" t="s">
        <v>72</v>
      </c>
      <c r="R1776" s="17"/>
      <c r="S1776" s="92" t="s">
        <v>73</v>
      </c>
      <c r="T1776" s="7">
        <f>((X1768+Y1768)-(X1776+Y1776))</f>
        <v>9</v>
      </c>
      <c r="U1776" s="7"/>
      <c r="V1776" s="98">
        <f>T1776*M1757</f>
        <v>2025</v>
      </c>
      <c r="W1776" s="66">
        <v>0.47847222222222219</v>
      </c>
      <c r="X1776" s="7">
        <v>21.15</v>
      </c>
      <c r="Y1776" s="23">
        <v>86.3</v>
      </c>
      <c r="Z1776" s="66">
        <v>0.4368055555555555</v>
      </c>
    </row>
    <row r="1788" spans="2:26" x14ac:dyDescent="0.3">
      <c r="B1788" s="40"/>
      <c r="C1788" s="50">
        <f>AVERAGE(B1789,D1788)</f>
        <v>14487.8</v>
      </c>
      <c r="D1788" s="51">
        <f>B1789+E1789</f>
        <v>14557.8</v>
      </c>
      <c r="E1788" s="50">
        <f>AVERAGE(D1788,F1788)</f>
        <v>14627.8</v>
      </c>
      <c r="F1788" s="50">
        <f>D1788+E1789</f>
        <v>14697.8</v>
      </c>
      <c r="G1788" s="17"/>
      <c r="H1788" s="88" t="str">
        <f>IF((C1797-D1797)&gt;(C1806-D1806),"LONG",IF(C1806&gt;D1804,"LONG","SHORT"))</f>
        <v>SHORT</v>
      </c>
      <c r="I1788" s="104">
        <v>14410</v>
      </c>
      <c r="J1788" s="105" t="s">
        <v>122</v>
      </c>
      <c r="K1788" s="106">
        <v>14560</v>
      </c>
      <c r="L1788" s="17"/>
      <c r="M1788" s="94">
        <f>(152000)/4</f>
        <v>38000</v>
      </c>
      <c r="N1788" s="17"/>
      <c r="Q1788" s="149" t="s">
        <v>71</v>
      </c>
      <c r="R1788" s="149"/>
      <c r="S1788" s="149" t="s">
        <v>37</v>
      </c>
      <c r="T1788" s="149"/>
      <c r="U1788" s="89"/>
      <c r="V1788" s="17"/>
      <c r="W1788" s="90" t="s">
        <v>68</v>
      </c>
      <c r="X1788" s="91" t="s">
        <v>69</v>
      </c>
      <c r="Y1788" s="92" t="s">
        <v>70</v>
      </c>
      <c r="Z1788" s="90" t="s">
        <v>68</v>
      </c>
    </row>
    <row r="1789" spans="2:26" x14ac:dyDescent="0.3">
      <c r="B1789" s="50">
        <v>14417.8</v>
      </c>
      <c r="C1789" s="40"/>
      <c r="D1789" s="58"/>
      <c r="E1789" s="59">
        <f>ROUND((((B1789*F1789%)/4)/10),0)*10</f>
        <v>140</v>
      </c>
      <c r="F1789" s="51">
        <f>(100/B1789)*(F1798-F1807)</f>
        <v>3.9843110599398015</v>
      </c>
      <c r="G1789" s="17"/>
      <c r="H1789" s="93">
        <v>0.39166666666666666</v>
      </c>
      <c r="I1789" s="93">
        <v>0.39861111111111108</v>
      </c>
      <c r="J1789" s="93">
        <v>0.4055555555555555</v>
      </c>
      <c r="K1789" s="93">
        <v>0.41250000000000003</v>
      </c>
      <c r="L1789" s="17"/>
      <c r="N1789" s="17"/>
      <c r="Q1789" s="51">
        <f>R1789-(S1789-R1789)</f>
        <v>14079.900000000001</v>
      </c>
      <c r="R1789" s="51">
        <v>14475.6</v>
      </c>
      <c r="S1789" s="51">
        <v>14871.3</v>
      </c>
      <c r="T1789" s="51">
        <f>S1789+(S1789-R1789)</f>
        <v>15266.999999999998</v>
      </c>
      <c r="U1789" s="62"/>
      <c r="V1789" s="17"/>
      <c r="W1789" s="66">
        <v>0.41597222222222219</v>
      </c>
      <c r="X1789" s="7">
        <v>144.05000000000001</v>
      </c>
      <c r="Y1789" s="7">
        <v>137.65</v>
      </c>
      <c r="Z1789" s="66">
        <v>0.41597222222222219</v>
      </c>
    </row>
    <row r="1790" spans="2:26" x14ac:dyDescent="0.3">
      <c r="B1790" s="40"/>
      <c r="C1790" s="50">
        <f>AVERAGE(B1789,D1790)</f>
        <v>14347.8</v>
      </c>
      <c r="D1790" s="51">
        <f>B1789-E1789</f>
        <v>14277.8</v>
      </c>
      <c r="E1790" s="50">
        <f>AVERAGE(D1790,F1790)</f>
        <v>14207.8</v>
      </c>
      <c r="F1790" s="50">
        <f>D1790-E1789</f>
        <v>14137.8</v>
      </c>
      <c r="G1790" s="17"/>
      <c r="H1790" s="51">
        <v>14458</v>
      </c>
      <c r="I1790" s="51">
        <v>14438</v>
      </c>
      <c r="J1790" s="51">
        <v>14440</v>
      </c>
      <c r="K1790" s="51">
        <v>14421</v>
      </c>
      <c r="L1790" s="17"/>
      <c r="M1790" s="94">
        <f>ROUND((M1788/AVERAGE(F1801,F1803))/225,0)*75</f>
        <v>150</v>
      </c>
      <c r="N1790" s="17"/>
      <c r="Q1790" s="17"/>
      <c r="R1790" s="17"/>
      <c r="S1790" s="17"/>
      <c r="T1790" s="16"/>
      <c r="U1790" s="16"/>
      <c r="V1790" s="17"/>
      <c r="W1790" s="66">
        <v>0.4368055555555555</v>
      </c>
      <c r="X1790" s="7">
        <v>132.75</v>
      </c>
      <c r="Y1790" s="7">
        <v>139.55000000000001</v>
      </c>
      <c r="Z1790" s="66">
        <v>0.4368055555555555</v>
      </c>
    </row>
    <row r="1791" spans="2:26" x14ac:dyDescent="0.3">
      <c r="B1791" s="17"/>
      <c r="C1791" s="17"/>
      <c r="D1791" s="17"/>
      <c r="E1791" s="17"/>
      <c r="F1791" s="16"/>
      <c r="G1791" s="16"/>
      <c r="H1791" s="40">
        <v>14458</v>
      </c>
      <c r="I1791" s="16">
        <v>14445</v>
      </c>
      <c r="J1791" s="16"/>
      <c r="K1791" s="16"/>
      <c r="L1791" s="17"/>
      <c r="M1791" s="17"/>
      <c r="N1791" s="17"/>
      <c r="Q1791" s="17"/>
      <c r="R1791" s="17"/>
      <c r="S1791" s="17"/>
      <c r="T1791" s="17"/>
      <c r="U1791" s="17"/>
      <c r="V1791" s="17"/>
      <c r="W1791" s="66">
        <v>0.45763888888888887</v>
      </c>
      <c r="X1791" s="7">
        <v>128.25</v>
      </c>
      <c r="Y1791" s="7">
        <v>142.35</v>
      </c>
      <c r="Z1791" s="66">
        <v>0.45763888888888887</v>
      </c>
    </row>
    <row r="1792" spans="2:26" x14ac:dyDescent="0.3">
      <c r="B1792" s="16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Q1792" s="17"/>
      <c r="R1792" s="17"/>
      <c r="S1792" s="17"/>
      <c r="T1792" s="17"/>
      <c r="U1792" s="17"/>
      <c r="V1792" s="17"/>
      <c r="W1792" s="66">
        <v>0.47847222222222219</v>
      </c>
      <c r="X1792" s="7">
        <v>125.8</v>
      </c>
      <c r="Y1792" s="7">
        <v>143</v>
      </c>
      <c r="Z1792" s="66">
        <v>0.47847222222222219</v>
      </c>
    </row>
    <row r="1793" spans="2:26" x14ac:dyDescent="0.3">
      <c r="B1793" s="17"/>
      <c r="C1793" s="95">
        <v>44280</v>
      </c>
      <c r="D1793" s="17"/>
      <c r="E1793" s="17"/>
      <c r="F1793" s="7">
        <f>AVERAGE(F1795,F1804)</f>
        <v>14444.45</v>
      </c>
      <c r="G1793" s="96"/>
      <c r="H1793" s="66">
        <v>0.5</v>
      </c>
      <c r="I1793" s="66">
        <v>0.50694444444444442</v>
      </c>
      <c r="J1793" s="66">
        <v>6.9444444444444434E-2</v>
      </c>
      <c r="K1793" s="66">
        <v>7.3611111111111113E-2</v>
      </c>
      <c r="L1793" s="66">
        <v>7.7083333333333337E-2</v>
      </c>
      <c r="M1793" s="66">
        <v>0.13541666666666666</v>
      </c>
      <c r="N1793" s="17"/>
      <c r="Q1793" s="17"/>
      <c r="R1793" s="17"/>
      <c r="S1793" s="17"/>
      <c r="T1793" s="17"/>
      <c r="U1793" s="17"/>
      <c r="V1793" s="17"/>
      <c r="W1793" s="66">
        <v>0.4993055555555555</v>
      </c>
      <c r="X1793" s="7">
        <v>112.7</v>
      </c>
      <c r="Y1793" s="7">
        <v>154.85</v>
      </c>
      <c r="Z1793" s="66">
        <v>0.4993055555555555</v>
      </c>
    </row>
    <row r="1794" spans="2:26" x14ac:dyDescent="0.3">
      <c r="B1794" s="90" t="s">
        <v>68</v>
      </c>
      <c r="C1794" s="66">
        <v>0.41666666666666669</v>
      </c>
      <c r="D1794" s="66">
        <v>0.41597222222222219</v>
      </c>
      <c r="E1794" s="17"/>
      <c r="F1794" s="17"/>
      <c r="G1794" s="17"/>
      <c r="H1794" s="7">
        <v>14339.15</v>
      </c>
      <c r="I1794" s="7">
        <v>14296.55</v>
      </c>
      <c r="J1794" s="7">
        <v>14386.1</v>
      </c>
      <c r="K1794" s="7">
        <v>14432</v>
      </c>
      <c r="L1794" s="7">
        <v>14390.2</v>
      </c>
      <c r="M1794" s="7">
        <v>14315.9</v>
      </c>
      <c r="N1794" s="17"/>
      <c r="Q1794" s="145" t="s">
        <v>72</v>
      </c>
      <c r="R1794" s="145"/>
      <c r="S1794" s="145"/>
      <c r="T1794" s="145"/>
      <c r="U1794" s="83"/>
      <c r="V1794" s="17"/>
      <c r="W1794" s="66">
        <v>0.52013888888888882</v>
      </c>
      <c r="X1794" s="7">
        <v>104</v>
      </c>
      <c r="Y1794" s="7">
        <v>172.05</v>
      </c>
      <c r="Z1794" s="66">
        <v>0.52013888888888882</v>
      </c>
    </row>
    <row r="1795" spans="2:26" x14ac:dyDescent="0.3">
      <c r="B1795" s="5">
        <f>B1796-50</f>
        <v>14450</v>
      </c>
      <c r="C1795" s="7">
        <v>191.7</v>
      </c>
      <c r="D1795" s="7">
        <v>191.7</v>
      </c>
      <c r="E1795" s="16"/>
      <c r="F1795" s="7">
        <f t="shared" ref="F1795:F1800" si="122">B1795+D1795</f>
        <v>14641.7</v>
      </c>
      <c r="G1795" s="16">
        <f>AVERAGE(G1796,H1806)</f>
        <v>133.27500000000001</v>
      </c>
      <c r="H1795" s="7">
        <v>146.15</v>
      </c>
      <c r="I1795" s="7">
        <v>134.75</v>
      </c>
      <c r="J1795" s="7">
        <v>162.85</v>
      </c>
      <c r="K1795" s="7">
        <v>183.2</v>
      </c>
      <c r="L1795" s="7">
        <v>171.65</v>
      </c>
      <c r="M1795" s="7">
        <v>145.44999999999999</v>
      </c>
      <c r="N1795" s="17"/>
      <c r="Q1795" s="26"/>
      <c r="R1795" s="34" t="s">
        <v>2</v>
      </c>
      <c r="S1795" s="34" t="s">
        <v>111</v>
      </c>
      <c r="T1795" s="34" t="s">
        <v>1</v>
      </c>
      <c r="U1795" s="84"/>
      <c r="V1795" s="17"/>
      <c r="W1795" s="66">
        <v>0.54097222222222219</v>
      </c>
      <c r="X1795" s="7">
        <v>99.3</v>
      </c>
      <c r="Y1795" s="7">
        <v>173.9</v>
      </c>
      <c r="Z1795" s="66">
        <v>0.54097222222222219</v>
      </c>
    </row>
    <row r="1796" spans="2:26" x14ac:dyDescent="0.3">
      <c r="B1796" s="5">
        <f>B1797-50</f>
        <v>14500</v>
      </c>
      <c r="C1796" s="7">
        <v>166.3</v>
      </c>
      <c r="D1796" s="7">
        <v>166.3</v>
      </c>
      <c r="E1796" s="16"/>
      <c r="F1796" s="7">
        <f t="shared" si="122"/>
        <v>14666.3</v>
      </c>
      <c r="G1796" s="16">
        <f>H1797</f>
        <v>105.75</v>
      </c>
      <c r="H1796" s="7">
        <v>124.45</v>
      </c>
      <c r="I1796" s="7">
        <v>114.5</v>
      </c>
      <c r="J1796" s="7">
        <v>138.25</v>
      </c>
      <c r="K1796" s="7">
        <v>155.94999999999999</v>
      </c>
      <c r="L1796" s="7">
        <v>147.55000000000001</v>
      </c>
      <c r="M1796" s="7">
        <v>124</v>
      </c>
      <c r="N1796" s="17"/>
      <c r="P1796" s="17"/>
      <c r="Q1796" s="7">
        <f>(T1796-R1796)*S1796</f>
        <v>0</v>
      </c>
      <c r="R1796" s="7"/>
      <c r="S1796" s="5"/>
      <c r="T1796" s="7"/>
      <c r="U1796" s="70"/>
      <c r="V1796" s="17"/>
      <c r="W1796" s="66">
        <v>6.1805555555555558E-2</v>
      </c>
      <c r="X1796" s="7">
        <v>104.9</v>
      </c>
      <c r="Y1796" s="7">
        <v>149.5</v>
      </c>
      <c r="Z1796" s="66">
        <v>6.1805555555555558E-2</v>
      </c>
    </row>
    <row r="1797" spans="2:26" x14ac:dyDescent="0.3">
      <c r="B1797" s="97">
        <v>14550</v>
      </c>
      <c r="C1797" s="7">
        <v>144.05000000000001</v>
      </c>
      <c r="D1797" s="7">
        <v>144.05000000000001</v>
      </c>
      <c r="E1797" s="16"/>
      <c r="F1797" s="7">
        <f t="shared" si="122"/>
        <v>14694.05</v>
      </c>
      <c r="G1797" s="17"/>
      <c r="H1797" s="7">
        <v>105.75</v>
      </c>
      <c r="I1797" s="7">
        <v>97.6</v>
      </c>
      <c r="J1797" s="7">
        <v>117.35</v>
      </c>
      <c r="K1797" s="7">
        <v>133.69999999999999</v>
      </c>
      <c r="L1797" s="7">
        <v>126.2</v>
      </c>
      <c r="M1797" s="7">
        <v>104.7</v>
      </c>
      <c r="N1797" s="17"/>
      <c r="P1797" s="17"/>
      <c r="Q1797" s="7">
        <f>(T1797-R1797)*S1797</f>
        <v>0</v>
      </c>
      <c r="R1797" s="7"/>
      <c r="S1797" s="5"/>
      <c r="T1797" s="7"/>
      <c r="U1797" s="70"/>
      <c r="V1797" s="17"/>
      <c r="W1797" s="66">
        <v>8.2638888888888887E-2</v>
      </c>
      <c r="X1797" s="7">
        <v>129.15</v>
      </c>
      <c r="Y1797" s="7">
        <v>130.05000000000001</v>
      </c>
      <c r="Z1797" s="66">
        <v>8.2638888888888887E-2</v>
      </c>
    </row>
    <row r="1798" spans="2:26" x14ac:dyDescent="0.3">
      <c r="B1798" s="5">
        <f>B1797+50</f>
        <v>14600</v>
      </c>
      <c r="C1798" s="7">
        <v>123.7</v>
      </c>
      <c r="D1798" s="23">
        <v>123.7</v>
      </c>
      <c r="E1798" s="16"/>
      <c r="F1798" s="98">
        <f t="shared" si="122"/>
        <v>14723.7</v>
      </c>
      <c r="G1798" s="17"/>
      <c r="H1798" s="7">
        <v>89.1</v>
      </c>
      <c r="I1798" s="7">
        <v>82.05</v>
      </c>
      <c r="J1798" s="7">
        <v>98.85</v>
      </c>
      <c r="K1798" s="7">
        <v>112.05</v>
      </c>
      <c r="L1798" s="7">
        <v>105.95</v>
      </c>
      <c r="M1798" s="7">
        <v>88.4</v>
      </c>
      <c r="N1798" s="17"/>
      <c r="P1798" s="17"/>
      <c r="Q1798" s="7">
        <f>(T1798-R1798)*S1798</f>
        <v>0</v>
      </c>
      <c r="R1798" s="7"/>
      <c r="S1798" s="5"/>
      <c r="T1798" s="7"/>
      <c r="U1798" s="101"/>
      <c r="V1798" s="17"/>
      <c r="W1798" s="17"/>
      <c r="X1798" s="17"/>
      <c r="Y1798" s="17"/>
      <c r="Z1798" s="17"/>
    </row>
    <row r="1799" spans="2:26" x14ac:dyDescent="0.3">
      <c r="B1799" s="99">
        <f>B1798+50</f>
        <v>14650</v>
      </c>
      <c r="C1799" s="7">
        <v>105.1</v>
      </c>
      <c r="D1799" s="7">
        <v>105.1</v>
      </c>
      <c r="E1799" s="16"/>
      <c r="F1799" s="7">
        <f t="shared" si="122"/>
        <v>14755.1</v>
      </c>
      <c r="G1799" s="17"/>
      <c r="H1799" s="7">
        <v>74.8</v>
      </c>
      <c r="I1799" s="7">
        <v>69.2</v>
      </c>
      <c r="J1799" s="7">
        <v>83.6</v>
      </c>
      <c r="K1799" s="7">
        <v>95.55</v>
      </c>
      <c r="L1799" s="7">
        <v>89.5</v>
      </c>
      <c r="M1799" s="7">
        <v>73.349999999999994</v>
      </c>
      <c r="N1799" s="17"/>
      <c r="P1799" s="17"/>
      <c r="Q1799" s="7">
        <f>(T1799-R1799)*S1799</f>
        <v>0</v>
      </c>
      <c r="R1799" s="7"/>
      <c r="S1799" s="5"/>
      <c r="T1799" s="7"/>
      <c r="U1799" s="101"/>
      <c r="V1799" s="17"/>
      <c r="W1799" s="90" t="s">
        <v>68</v>
      </c>
      <c r="X1799" s="91" t="s">
        <v>69</v>
      </c>
      <c r="Y1799" s="92" t="s">
        <v>70</v>
      </c>
      <c r="Z1799" s="90" t="s">
        <v>68</v>
      </c>
    </row>
    <row r="1800" spans="2:26" x14ac:dyDescent="0.3">
      <c r="B1800" s="5">
        <f>B1799+50</f>
        <v>14700</v>
      </c>
      <c r="C1800" s="51">
        <v>88.65</v>
      </c>
      <c r="D1800" s="7">
        <v>88.65</v>
      </c>
      <c r="E1800" s="16">
        <f>E1801-(F1801-E1801)</f>
        <v>71.650000000000006</v>
      </c>
      <c r="F1800" s="7">
        <f t="shared" si="122"/>
        <v>14788.65</v>
      </c>
      <c r="G1800" s="16">
        <f>G1801+(G1801-F1801)</f>
        <v>138.65</v>
      </c>
      <c r="H1800" s="7">
        <v>62.25</v>
      </c>
      <c r="I1800" s="7">
        <v>57.2</v>
      </c>
      <c r="J1800" s="7">
        <v>69.5</v>
      </c>
      <c r="K1800" s="7">
        <v>78.8</v>
      </c>
      <c r="L1800" s="7">
        <v>74</v>
      </c>
      <c r="M1800" s="7">
        <v>60.65</v>
      </c>
      <c r="N1800" s="17"/>
      <c r="P1800" s="17"/>
      <c r="Q1800" s="5" t="s">
        <v>112</v>
      </c>
      <c r="R1800" s="30">
        <f>SUM(Q1796:Q1799)</f>
        <v>0</v>
      </c>
      <c r="S1800" s="5">
        <f>SUM(S1796:S1799)</f>
        <v>0</v>
      </c>
      <c r="T1800" s="5" t="e">
        <f>(R1800/S1800)*2</f>
        <v>#DIV/0!</v>
      </c>
      <c r="U1800" s="100"/>
      <c r="V1800" s="17"/>
      <c r="W1800" s="66">
        <v>0.41597222222222219</v>
      </c>
      <c r="X1800" s="7">
        <v>88.65</v>
      </c>
      <c r="Y1800" s="7">
        <v>91.75</v>
      </c>
      <c r="Z1800" s="66">
        <v>0.41597222222222219</v>
      </c>
    </row>
    <row r="1801" spans="2:26" x14ac:dyDescent="0.3">
      <c r="B1801" s="17"/>
      <c r="C1801" s="17"/>
      <c r="D1801" s="16"/>
      <c r="E1801" s="16">
        <f>F1801-(G1801-F1801)</f>
        <v>88.4</v>
      </c>
      <c r="F1801" s="16">
        <f>AVERAGE(C1799,C1808)</f>
        <v>105.15</v>
      </c>
      <c r="G1801" s="16">
        <f>AVERAGE(C1798,C1807)</f>
        <v>121.9</v>
      </c>
      <c r="H1801" s="40">
        <f>H1800-(H1799-H1800)</f>
        <v>49.7</v>
      </c>
      <c r="I1801" s="107">
        <v>47.75</v>
      </c>
      <c r="J1801" s="107"/>
      <c r="K1801" s="17"/>
      <c r="L1801" s="17"/>
      <c r="M1801" s="17"/>
      <c r="N1801" s="17"/>
      <c r="P1801" s="17"/>
      <c r="Q1801" s="17"/>
      <c r="R1801" s="17"/>
      <c r="S1801" s="17"/>
      <c r="T1801" s="17"/>
      <c r="U1801" s="17"/>
      <c r="V1801" s="16"/>
      <c r="W1801" s="66">
        <v>0.4368055555555555</v>
      </c>
      <c r="X1801" s="7">
        <v>80.95</v>
      </c>
      <c r="Y1801" s="7">
        <v>92.45</v>
      </c>
      <c r="Z1801" s="66">
        <v>0.4368055555555555</v>
      </c>
    </row>
    <row r="1802" spans="2:26" x14ac:dyDescent="0.3">
      <c r="B1802" s="17"/>
      <c r="C1802" s="95">
        <v>44287</v>
      </c>
      <c r="D1802" s="17"/>
      <c r="F1802" s="16"/>
      <c r="H1802" s="66">
        <v>0.5</v>
      </c>
      <c r="I1802" s="66">
        <v>0.50694444444444442</v>
      </c>
      <c r="J1802" s="66">
        <v>6.9444444444444434E-2</v>
      </c>
      <c r="K1802" s="66">
        <v>7.3611111111111113E-2</v>
      </c>
      <c r="L1802" s="66">
        <v>7.7083333333333337E-2</v>
      </c>
      <c r="M1802" s="66">
        <v>0.13541666666666666</v>
      </c>
      <c r="P1802" s="17"/>
      <c r="Q1802" s="7">
        <f>(T1802-R1802)*S1802</f>
        <v>1215.0000000000002</v>
      </c>
      <c r="R1802" s="18">
        <v>105.7</v>
      </c>
      <c r="S1802" s="5">
        <v>75</v>
      </c>
      <c r="T1802" s="7">
        <v>121.9</v>
      </c>
      <c r="U1802" s="70"/>
      <c r="V1802" s="17"/>
      <c r="W1802" s="66">
        <v>0.45763888888888887</v>
      </c>
      <c r="X1802" s="7">
        <v>77</v>
      </c>
      <c r="Y1802" s="7">
        <v>94</v>
      </c>
      <c r="Z1802" s="66">
        <v>0.45763888888888887</v>
      </c>
    </row>
    <row r="1803" spans="2:26" x14ac:dyDescent="0.3">
      <c r="B1803" s="90" t="s">
        <v>68</v>
      </c>
      <c r="C1803" s="66">
        <v>0.41666666666666669</v>
      </c>
      <c r="D1803" s="66">
        <v>0.38680555555555557</v>
      </c>
      <c r="E1803" s="16">
        <f>F1803-(G1803-F1803)</f>
        <v>88.4</v>
      </c>
      <c r="F1803" s="16">
        <f>AVERAGE(C1808,C1799)</f>
        <v>105.15</v>
      </c>
      <c r="G1803" s="16">
        <f>AVERAGE(C1807,C1798)</f>
        <v>121.9</v>
      </c>
      <c r="H1803" s="23">
        <v>105.15</v>
      </c>
      <c r="I1803" s="23">
        <v>121.9</v>
      </c>
      <c r="J1803" s="23">
        <v>88.4</v>
      </c>
      <c r="K1803" s="23">
        <v>71.650000000000006</v>
      </c>
      <c r="L1803" s="23">
        <v>88.4</v>
      </c>
      <c r="M1803" s="7">
        <v>14315.9</v>
      </c>
      <c r="P1803" s="17"/>
      <c r="Q1803" s="7">
        <f>(T1803-R1803)*S1803</f>
        <v>-570.00000000000068</v>
      </c>
      <c r="R1803" s="18">
        <v>105.7</v>
      </c>
      <c r="S1803" s="5">
        <v>75</v>
      </c>
      <c r="T1803" s="7">
        <v>98.1</v>
      </c>
      <c r="U1803" s="70"/>
      <c r="V1803" s="17"/>
      <c r="W1803" s="66">
        <v>0.47847222222222219</v>
      </c>
      <c r="X1803" s="7">
        <v>75.5</v>
      </c>
      <c r="Y1803" s="7">
        <v>93.95</v>
      </c>
      <c r="Z1803" s="66">
        <v>0.47847222222222219</v>
      </c>
    </row>
    <row r="1804" spans="2:26" x14ac:dyDescent="0.3">
      <c r="B1804" s="5">
        <f>B1805+50</f>
        <v>14400</v>
      </c>
      <c r="C1804" s="7">
        <v>177</v>
      </c>
      <c r="D1804" s="7">
        <v>152.80000000000001</v>
      </c>
      <c r="E1804" s="16">
        <f>E1803-(F1803-E1803)</f>
        <v>71.650000000000006</v>
      </c>
      <c r="F1804" s="7">
        <f t="shared" ref="F1804:F1809" si="123">B1804-D1804</f>
        <v>14247.2</v>
      </c>
      <c r="G1804" s="16">
        <f>G1803+(G1803-F1803)</f>
        <v>138.65</v>
      </c>
      <c r="H1804" s="7">
        <v>206.7</v>
      </c>
      <c r="I1804" s="7">
        <v>232.75</v>
      </c>
      <c r="J1804" s="7">
        <v>171.65</v>
      </c>
      <c r="K1804" s="7">
        <v>146.30000000000001</v>
      </c>
      <c r="L1804" s="7">
        <v>172.8</v>
      </c>
      <c r="M1804" s="7">
        <v>209</v>
      </c>
      <c r="N1804" s="17"/>
      <c r="P1804" s="17"/>
      <c r="Q1804" s="7">
        <f t="shared" ref="Q1804:Q1805" si="124">(T1804-R1804)*S1804</f>
        <v>0</v>
      </c>
      <c r="R1804" s="18"/>
      <c r="S1804" s="99"/>
      <c r="T1804" s="18"/>
      <c r="U1804" s="101"/>
      <c r="V1804" s="16"/>
      <c r="W1804" s="66">
        <v>0.4993055555555555</v>
      </c>
      <c r="X1804" s="7">
        <v>66.599999999999994</v>
      </c>
      <c r="Y1804" s="7">
        <v>102.2</v>
      </c>
      <c r="Z1804" s="66">
        <v>0.4993055555555555</v>
      </c>
    </row>
    <row r="1805" spans="2:26" x14ac:dyDescent="0.3">
      <c r="B1805" s="5">
        <f>B1806+50</f>
        <v>14350</v>
      </c>
      <c r="C1805" s="7">
        <v>156.94999999999999</v>
      </c>
      <c r="D1805" s="7">
        <v>133.4</v>
      </c>
      <c r="E1805" s="16">
        <f>E1804-(E1803-E1804)</f>
        <v>54.900000000000006</v>
      </c>
      <c r="F1805" s="7">
        <f t="shared" si="123"/>
        <v>14216.6</v>
      </c>
      <c r="G1805" s="17"/>
      <c r="H1805" s="7">
        <v>182.95</v>
      </c>
      <c r="I1805" s="7">
        <v>205.45</v>
      </c>
      <c r="J1805" s="7">
        <v>149.55000000000001</v>
      </c>
      <c r="K1805" s="7">
        <v>129.15</v>
      </c>
      <c r="L1805" s="7">
        <v>152</v>
      </c>
      <c r="M1805" s="7">
        <v>183.6</v>
      </c>
      <c r="N1805" s="17"/>
      <c r="P1805" s="17"/>
      <c r="Q1805" s="7">
        <f t="shared" si="124"/>
        <v>0</v>
      </c>
      <c r="R1805" s="18"/>
      <c r="S1805" s="99"/>
      <c r="T1805" s="18"/>
      <c r="U1805" s="101"/>
      <c r="V1805" s="16"/>
      <c r="W1805" s="66">
        <v>0.52013888888888882</v>
      </c>
      <c r="X1805" s="7">
        <v>61</v>
      </c>
      <c r="Y1805" s="7">
        <v>115.15</v>
      </c>
      <c r="Z1805" s="66">
        <v>0.52013888888888882</v>
      </c>
    </row>
    <row r="1806" spans="2:26" x14ac:dyDescent="0.3">
      <c r="B1806" s="97">
        <v>14300</v>
      </c>
      <c r="C1806" s="7">
        <v>137.65</v>
      </c>
      <c r="D1806" s="7">
        <v>117.7</v>
      </c>
      <c r="E1806" s="16"/>
      <c r="F1806" s="7">
        <f t="shared" si="123"/>
        <v>14182.3</v>
      </c>
      <c r="G1806" s="17"/>
      <c r="H1806" s="7">
        <v>160.80000000000001</v>
      </c>
      <c r="I1806" s="7">
        <v>183.3</v>
      </c>
      <c r="J1806" s="7">
        <v>130.44999999999999</v>
      </c>
      <c r="K1806" s="7">
        <v>110.75</v>
      </c>
      <c r="L1806" s="7">
        <v>134.1</v>
      </c>
      <c r="M1806" s="7">
        <v>160.85</v>
      </c>
      <c r="N1806" s="17"/>
      <c r="P1806" s="17"/>
      <c r="Q1806" s="5" t="s">
        <v>112</v>
      </c>
      <c r="R1806" s="30">
        <f>SUM(Q1802:Q1805)</f>
        <v>644.99999999999955</v>
      </c>
      <c r="S1806" s="5">
        <f>SUM(S1802:S1805)</f>
        <v>150</v>
      </c>
      <c r="T1806" s="5">
        <f>(R1806/S1806)*2</f>
        <v>8.5999999999999943</v>
      </c>
      <c r="U1806" s="100"/>
      <c r="V1806" s="17"/>
      <c r="W1806" s="66">
        <v>0.54097222222222219</v>
      </c>
      <c r="X1806" s="7">
        <v>58</v>
      </c>
      <c r="Y1806" s="7">
        <v>118</v>
      </c>
      <c r="Z1806" s="66">
        <v>0.54097222222222219</v>
      </c>
    </row>
    <row r="1807" spans="2:26" x14ac:dyDescent="0.3">
      <c r="B1807" s="14">
        <f>B1806-50</f>
        <v>14250</v>
      </c>
      <c r="C1807" s="7">
        <v>120.1</v>
      </c>
      <c r="D1807" s="23">
        <v>100.75</v>
      </c>
      <c r="E1807" s="16"/>
      <c r="F1807" s="98">
        <f t="shared" si="123"/>
        <v>14149.25</v>
      </c>
      <c r="G1807" s="17"/>
      <c r="H1807" s="7">
        <v>140.15</v>
      </c>
      <c r="I1807" s="7">
        <v>160.1</v>
      </c>
      <c r="J1807" s="7">
        <v>113.7</v>
      </c>
      <c r="K1807" s="7">
        <v>96.95</v>
      </c>
      <c r="L1807" s="7">
        <v>116.55</v>
      </c>
      <c r="M1807" s="7">
        <v>139.25</v>
      </c>
      <c r="N1807" s="17"/>
      <c r="P1807" s="17"/>
      <c r="Q1807" s="17"/>
      <c r="R1807" s="17"/>
      <c r="S1807" s="17"/>
      <c r="T1807" s="17"/>
      <c r="U1807" s="17"/>
      <c r="V1807" s="17"/>
      <c r="W1807" s="66">
        <v>6.1805555555555558E-2</v>
      </c>
      <c r="X1807" s="7">
        <v>60.9</v>
      </c>
      <c r="Y1807" s="7">
        <v>96.75</v>
      </c>
      <c r="Z1807" s="66">
        <v>6.1805555555555558E-2</v>
      </c>
    </row>
    <row r="1808" spans="2:26" x14ac:dyDescent="0.3">
      <c r="B1808" s="99">
        <f>B1807-50</f>
        <v>14200</v>
      </c>
      <c r="C1808" s="7">
        <v>105.2</v>
      </c>
      <c r="D1808" s="7">
        <v>89.15</v>
      </c>
      <c r="E1808" s="16"/>
      <c r="F1808" s="7">
        <f t="shared" si="123"/>
        <v>14110.85</v>
      </c>
      <c r="G1808" s="40">
        <f>AVERAGE(G1809,H1806)</f>
        <v>146.51875000000001</v>
      </c>
      <c r="H1808" s="7">
        <v>122.3</v>
      </c>
      <c r="I1808" s="7">
        <v>141.4</v>
      </c>
      <c r="J1808" s="7">
        <v>97.75</v>
      </c>
      <c r="K1808" s="7">
        <v>82.25</v>
      </c>
      <c r="L1808" s="7">
        <v>101.95</v>
      </c>
      <c r="M1808" s="7">
        <v>121.95</v>
      </c>
      <c r="N1808" s="17"/>
      <c r="P1808" s="17"/>
      <c r="Q1808" s="17"/>
      <c r="R1808" s="17"/>
      <c r="S1808" s="17"/>
      <c r="T1808" s="17"/>
      <c r="U1808" s="17"/>
      <c r="V1808" s="17"/>
      <c r="W1808" s="66">
        <v>8.2638888888888887E-2</v>
      </c>
      <c r="X1808" s="7">
        <v>75.900000000000006</v>
      </c>
      <c r="Y1808" s="7">
        <v>85.25</v>
      </c>
      <c r="Z1808" s="66">
        <v>8.2638888888888887E-2</v>
      </c>
    </row>
    <row r="1809" spans="2:26" x14ac:dyDescent="0.3">
      <c r="B1809" s="5">
        <f>B1808-50</f>
        <v>14150</v>
      </c>
      <c r="C1809" s="51">
        <v>91.75</v>
      </c>
      <c r="D1809" s="7">
        <v>77.75</v>
      </c>
      <c r="E1809" s="16"/>
      <c r="F1809" s="7">
        <f t="shared" si="123"/>
        <v>14072.25</v>
      </c>
      <c r="G1809" s="16">
        <f>AVERAGE(H1806:H1809)</f>
        <v>132.23750000000001</v>
      </c>
      <c r="H1809" s="7">
        <v>105.7</v>
      </c>
      <c r="I1809" s="7">
        <v>124.25</v>
      </c>
      <c r="J1809" s="7">
        <v>83.8</v>
      </c>
      <c r="K1809" s="7">
        <v>70.95</v>
      </c>
      <c r="L1809" s="7">
        <v>88.3</v>
      </c>
      <c r="M1809" s="7">
        <v>105.15</v>
      </c>
      <c r="N1809" s="17"/>
      <c r="P1809" s="98">
        <f>SUM(R1800,R1806)</f>
        <v>644.99999999999955</v>
      </c>
      <c r="Q1809" s="92" t="s">
        <v>72</v>
      </c>
      <c r="R1809" s="17"/>
      <c r="S1809" s="92" t="s">
        <v>73</v>
      </c>
      <c r="T1809" s="7">
        <f>((X1801+Y1801)-(X1809+Y1809))</f>
        <v>16.150000000000006</v>
      </c>
      <c r="U1809" s="7"/>
      <c r="V1809" s="98">
        <f>T1809*M1790</f>
        <v>2422.5000000000009</v>
      </c>
      <c r="W1809" s="66">
        <v>0.13541666666666666</v>
      </c>
      <c r="X1809" s="7">
        <v>52.1</v>
      </c>
      <c r="Y1809" s="23">
        <v>105.15</v>
      </c>
      <c r="Z1809" s="66">
        <v>0.5</v>
      </c>
    </row>
    <row r="1810" spans="2:26" x14ac:dyDescent="0.3">
      <c r="H1810" s="40">
        <f>H1809-(H1808-H1809)</f>
        <v>89.100000000000009</v>
      </c>
      <c r="I1810" s="40">
        <f>I1809-(I1808-I1809)</f>
        <v>107.1</v>
      </c>
    </row>
    <row r="1821" spans="2:26" x14ac:dyDescent="0.3">
      <c r="B1821" s="40"/>
      <c r="C1821" s="50">
        <f>AVERAGE(B1822,D1821)</f>
        <v>14594.65</v>
      </c>
      <c r="D1821" s="51">
        <f>B1822+E1822</f>
        <v>14664.65</v>
      </c>
      <c r="E1821" s="50">
        <f>AVERAGE(D1821,F1821)</f>
        <v>14734.65</v>
      </c>
      <c r="F1821" s="50">
        <f>D1821+E1822</f>
        <v>14804.65</v>
      </c>
      <c r="G1821" s="17"/>
      <c r="H1821" s="88" t="str">
        <f>IF((C1830-D1830)&gt;(C1839-D1839),"LONG",IF(C1839&gt;D1837,"LONG","SHORT"))</f>
        <v>SHORT</v>
      </c>
      <c r="I1821" s="104">
        <v>14501</v>
      </c>
      <c r="J1821" s="105" t="s">
        <v>122</v>
      </c>
      <c r="K1821" s="106">
        <v>14595</v>
      </c>
      <c r="L1821" s="17"/>
      <c r="M1821" s="94">
        <f>(175000)/4</f>
        <v>43750</v>
      </c>
      <c r="N1821" s="17"/>
      <c r="P1821" s="16"/>
      <c r="Q1821" s="149" t="s">
        <v>71</v>
      </c>
      <c r="R1821" s="149"/>
      <c r="S1821" s="149" t="s">
        <v>37</v>
      </c>
      <c r="T1821" s="149"/>
      <c r="U1821" s="89"/>
      <c r="V1821" s="17"/>
      <c r="W1821" s="90" t="s">
        <v>68</v>
      </c>
      <c r="X1821" s="91" t="s">
        <v>69</v>
      </c>
      <c r="Y1821" s="92" t="s">
        <v>70</v>
      </c>
      <c r="Z1821" s="90" t="s">
        <v>68</v>
      </c>
    </row>
    <row r="1822" spans="2:26" x14ac:dyDescent="0.3">
      <c r="B1822" s="50">
        <v>14524.65</v>
      </c>
      <c r="C1822" s="40"/>
      <c r="D1822" s="58"/>
      <c r="E1822" s="59">
        <f>ROUND((((B1822*F1822%)/4)/10),0)*10</f>
        <v>140</v>
      </c>
      <c r="F1822" s="51">
        <f>(100/B1822)*(F1831-F1840)</f>
        <v>3.7188503681672165</v>
      </c>
      <c r="G1822" s="17"/>
      <c r="H1822" s="93">
        <v>0.39166666666666666</v>
      </c>
      <c r="I1822" s="93">
        <v>0.39861111111111108</v>
      </c>
      <c r="J1822" s="93">
        <v>0.4055555555555555</v>
      </c>
      <c r="K1822" s="93">
        <v>0.41250000000000003</v>
      </c>
      <c r="L1822" s="17"/>
      <c r="N1822" s="17"/>
      <c r="P1822" s="16"/>
      <c r="Q1822" s="51">
        <f>R1822-(S1822-R1822)</f>
        <v>13684.3</v>
      </c>
      <c r="R1822" s="51">
        <v>14277.8</v>
      </c>
      <c r="S1822" s="51">
        <v>14871.3</v>
      </c>
      <c r="T1822" s="51">
        <f>S1822+(S1822-R1822)</f>
        <v>15464.8</v>
      </c>
      <c r="U1822" s="62"/>
      <c r="V1822" s="17"/>
      <c r="W1822" s="66">
        <v>0.41597222222222219</v>
      </c>
      <c r="X1822" s="7">
        <v>134.5</v>
      </c>
      <c r="Y1822" s="7">
        <v>152.4</v>
      </c>
      <c r="Z1822" s="66">
        <v>0.41597222222222219</v>
      </c>
    </row>
    <row r="1823" spans="2:26" x14ac:dyDescent="0.3">
      <c r="B1823" s="40"/>
      <c r="C1823" s="50">
        <f>AVERAGE(B1822,D1823)</f>
        <v>14454.65</v>
      </c>
      <c r="D1823" s="51">
        <f>B1822-E1822</f>
        <v>14384.65</v>
      </c>
      <c r="E1823" s="50">
        <f>AVERAGE(D1823,F1823)</f>
        <v>14314.65</v>
      </c>
      <c r="F1823" s="50">
        <f>D1823-E1822</f>
        <v>14244.65</v>
      </c>
      <c r="G1823" s="17"/>
      <c r="H1823" s="51">
        <v>14521.9</v>
      </c>
      <c r="I1823" s="51">
        <v>14564.5</v>
      </c>
      <c r="J1823" s="51">
        <v>14521</v>
      </c>
      <c r="K1823" s="51">
        <v>14512.95</v>
      </c>
      <c r="L1823" s="17"/>
      <c r="M1823" s="94">
        <f>ROUND((M1821/AVERAGE(F1834,F1836))/225,0)*75</f>
        <v>150</v>
      </c>
      <c r="N1823" s="17"/>
      <c r="P1823" s="16"/>
      <c r="Q1823" s="17"/>
      <c r="R1823" s="17"/>
      <c r="S1823" s="17"/>
      <c r="T1823" s="16"/>
      <c r="U1823" s="16"/>
      <c r="V1823" s="17"/>
      <c r="W1823" s="66">
        <v>0.4368055555555555</v>
      </c>
      <c r="X1823" s="7">
        <v>157.69999999999999</v>
      </c>
      <c r="Y1823" s="7">
        <v>123.4</v>
      </c>
      <c r="Z1823" s="66">
        <v>0.4368055555555555</v>
      </c>
    </row>
    <row r="1824" spans="2:26" x14ac:dyDescent="0.3">
      <c r="B1824" s="17"/>
      <c r="C1824" s="17"/>
      <c r="D1824" s="17"/>
      <c r="E1824" s="17"/>
      <c r="F1824" s="16"/>
      <c r="G1824" s="16"/>
      <c r="H1824" s="17"/>
      <c r="I1824" s="17"/>
      <c r="J1824" s="17"/>
      <c r="K1824" s="16"/>
      <c r="L1824" s="17"/>
      <c r="M1824" s="17"/>
      <c r="N1824" s="17"/>
      <c r="P1824" s="16"/>
      <c r="Q1824" s="17"/>
      <c r="R1824" s="17"/>
      <c r="S1824" s="17"/>
      <c r="T1824" s="17"/>
      <c r="U1824" s="17"/>
      <c r="V1824" s="17"/>
      <c r="W1824" s="66">
        <v>0.45763888888888887</v>
      </c>
      <c r="X1824" s="7">
        <v>133.9</v>
      </c>
      <c r="Y1824" s="7">
        <v>138.44999999999999</v>
      </c>
      <c r="Z1824" s="66">
        <v>0.45763888888888887</v>
      </c>
    </row>
    <row r="1825" spans="2:26" x14ac:dyDescent="0.3">
      <c r="B1825" s="16"/>
      <c r="C1825" s="17"/>
      <c r="D1825" s="17"/>
      <c r="E1825" s="17"/>
      <c r="F1825" s="17"/>
      <c r="G1825" s="17"/>
      <c r="H1825" s="17"/>
      <c r="I1825" s="17"/>
      <c r="J1825" s="16"/>
      <c r="K1825" s="17"/>
      <c r="L1825" s="17"/>
      <c r="M1825" s="17"/>
      <c r="N1825" s="17"/>
      <c r="P1825" s="16"/>
      <c r="Q1825" s="17"/>
      <c r="R1825" s="17"/>
      <c r="S1825" s="17"/>
      <c r="T1825" s="17"/>
      <c r="U1825" s="17"/>
      <c r="V1825" s="17"/>
      <c r="W1825" s="66">
        <v>0.47847222222222219</v>
      </c>
      <c r="X1825" s="7">
        <v>150.94999999999999</v>
      </c>
      <c r="Y1825" s="7">
        <v>119.25</v>
      </c>
      <c r="Z1825" s="66">
        <v>0.47847222222222219</v>
      </c>
    </row>
    <row r="1826" spans="2:26" x14ac:dyDescent="0.3">
      <c r="B1826" s="17"/>
      <c r="C1826" s="95">
        <v>44281</v>
      </c>
      <c r="D1826" s="17"/>
      <c r="E1826" s="17"/>
      <c r="F1826" s="7">
        <f>AVERAGE(F1828,F1837)</f>
        <v>14502.174999999999</v>
      </c>
      <c r="G1826" s="96"/>
      <c r="H1826" s="66">
        <v>0.48541666666666666</v>
      </c>
      <c r="I1826" s="66">
        <v>0.5180555555555556</v>
      </c>
      <c r="J1826" s="66">
        <v>0.52847222222222223</v>
      </c>
      <c r="K1826" s="66"/>
      <c r="L1826" s="66"/>
      <c r="M1826" s="66">
        <v>0.13541666666666666</v>
      </c>
      <c r="N1826" s="17"/>
      <c r="P1826" s="16"/>
      <c r="Q1826" s="17"/>
      <c r="R1826" s="17"/>
      <c r="S1826" s="17"/>
      <c r="T1826" s="17"/>
      <c r="U1826" s="17"/>
      <c r="V1826" s="17"/>
      <c r="W1826" s="66">
        <v>0.4993055555555555</v>
      </c>
      <c r="X1826" s="7">
        <v>165</v>
      </c>
      <c r="Y1826" s="7">
        <v>104.25</v>
      </c>
      <c r="Z1826" s="66">
        <v>0.4993055555555555</v>
      </c>
    </row>
    <row r="1827" spans="2:26" x14ac:dyDescent="0.3">
      <c r="B1827" s="90" t="s">
        <v>68</v>
      </c>
      <c r="C1827" s="66">
        <v>0.41666666666666669</v>
      </c>
      <c r="D1827" s="66">
        <v>0.3923611111111111</v>
      </c>
      <c r="E1827" s="17"/>
      <c r="F1827" s="17"/>
      <c r="G1827" s="17"/>
      <c r="H1827" s="23">
        <v>97</v>
      </c>
      <c r="I1827" s="23">
        <v>79.8</v>
      </c>
      <c r="J1827" s="23">
        <v>169.8</v>
      </c>
      <c r="K1827" s="23"/>
      <c r="L1827" s="23"/>
      <c r="M1827" s="7">
        <v>14594</v>
      </c>
      <c r="N1827" s="17"/>
      <c r="P1827" s="17"/>
      <c r="Q1827" s="145" t="s">
        <v>72</v>
      </c>
      <c r="R1827" s="145"/>
      <c r="S1827" s="145"/>
      <c r="T1827" s="145"/>
      <c r="U1827" s="83"/>
      <c r="V1827" s="17"/>
      <c r="W1827" s="66">
        <v>0.52013888888888882</v>
      </c>
      <c r="X1827" s="7">
        <v>155.44999999999999</v>
      </c>
      <c r="Y1827" s="7">
        <v>108</v>
      </c>
      <c r="Z1827" s="66">
        <v>0.52013888888888882</v>
      </c>
    </row>
    <row r="1828" spans="2:26" x14ac:dyDescent="0.3">
      <c r="B1828" s="5">
        <f>B1829-50</f>
        <v>14550</v>
      </c>
      <c r="C1828" s="7">
        <v>134.5</v>
      </c>
      <c r="D1828" s="7">
        <v>130.19999999999999</v>
      </c>
      <c r="E1828" s="16"/>
      <c r="F1828" s="7">
        <f t="shared" ref="F1828:F1833" si="125">B1828+D1828</f>
        <v>14680.2</v>
      </c>
      <c r="G1828" s="16">
        <f>MIN(AVERAGE(G1829,H1828),G1842)</f>
        <v>137.5</v>
      </c>
      <c r="H1828" s="7">
        <v>169.8</v>
      </c>
      <c r="I1828" s="7">
        <v>151.55000000000001</v>
      </c>
      <c r="J1828" s="7">
        <v>168</v>
      </c>
      <c r="K1828" s="7"/>
      <c r="L1828" s="7"/>
      <c r="M1828" s="7">
        <v>130</v>
      </c>
      <c r="N1828" s="17"/>
      <c r="P1828" s="17"/>
      <c r="Q1828" s="26"/>
      <c r="R1828" s="34" t="s">
        <v>2</v>
      </c>
      <c r="S1828" s="34" t="s">
        <v>111</v>
      </c>
      <c r="T1828" s="34" t="s">
        <v>1</v>
      </c>
      <c r="U1828" s="84"/>
      <c r="V1828" s="17"/>
      <c r="W1828" s="66">
        <v>0.54097222222222219</v>
      </c>
      <c r="X1828" s="7">
        <v>171.1</v>
      </c>
      <c r="Y1828" s="7">
        <v>97.4</v>
      </c>
      <c r="Z1828" s="66">
        <v>0.54097222222222219</v>
      </c>
    </row>
    <row r="1829" spans="2:26" x14ac:dyDescent="0.3">
      <c r="B1829" s="5">
        <f>B1830-50</f>
        <v>14600</v>
      </c>
      <c r="C1829" s="7">
        <v>112.35</v>
      </c>
      <c r="D1829" s="7">
        <v>107.7</v>
      </c>
      <c r="E1829" s="16"/>
      <c r="F1829" s="7">
        <f t="shared" si="125"/>
        <v>14707.7</v>
      </c>
      <c r="G1829" s="16">
        <f>AVERAGE(H1828:H1831)</f>
        <v>131.1</v>
      </c>
      <c r="H1829" s="7">
        <v>142.5</v>
      </c>
      <c r="I1829" s="7">
        <v>125.85</v>
      </c>
      <c r="J1829" s="7">
        <v>140.30000000000001</v>
      </c>
      <c r="K1829" s="7"/>
      <c r="L1829" s="7"/>
      <c r="M1829" s="7">
        <v>104.3</v>
      </c>
      <c r="P1829" s="17"/>
      <c r="Q1829" s="7">
        <f>(T1829-R1829)*S1829</f>
        <v>-1391.2499999999998</v>
      </c>
      <c r="R1829" s="7">
        <v>94.85</v>
      </c>
      <c r="S1829" s="5">
        <v>75</v>
      </c>
      <c r="T1829" s="7">
        <v>76.3</v>
      </c>
      <c r="U1829" s="70"/>
      <c r="V1829" s="17"/>
      <c r="W1829" s="66">
        <v>6.1805555555555558E-2</v>
      </c>
      <c r="X1829" s="7">
        <v>155</v>
      </c>
      <c r="Y1829" s="7">
        <v>100.1</v>
      </c>
      <c r="Z1829" s="66">
        <v>6.1805555555555558E-2</v>
      </c>
    </row>
    <row r="1830" spans="2:26" x14ac:dyDescent="0.3">
      <c r="B1830" s="97">
        <v>14650</v>
      </c>
      <c r="C1830" s="7">
        <v>92.9</v>
      </c>
      <c r="D1830" s="7">
        <v>88.4</v>
      </c>
      <c r="E1830" s="16"/>
      <c r="F1830" s="7">
        <f t="shared" si="125"/>
        <v>14738.4</v>
      </c>
      <c r="G1830" s="17"/>
      <c r="H1830" s="7">
        <v>117.25</v>
      </c>
      <c r="I1830" s="7">
        <v>103</v>
      </c>
      <c r="J1830" s="7">
        <v>115.8</v>
      </c>
      <c r="K1830" s="7"/>
      <c r="L1830" s="7"/>
      <c r="M1830" s="7">
        <v>82.45</v>
      </c>
      <c r="P1830" s="17"/>
      <c r="Q1830" s="7">
        <f>(T1830-R1830)*S1830</f>
        <v>-1391.2499999999998</v>
      </c>
      <c r="R1830" s="7">
        <v>94.85</v>
      </c>
      <c r="S1830" s="5">
        <v>75</v>
      </c>
      <c r="T1830" s="7">
        <v>76.3</v>
      </c>
      <c r="U1830" s="70"/>
      <c r="V1830" s="17"/>
      <c r="W1830" s="66">
        <v>8.2638888888888887E-2</v>
      </c>
      <c r="X1830" s="7">
        <v>160.94999999999999</v>
      </c>
      <c r="Y1830" s="7">
        <v>90.7</v>
      </c>
      <c r="Z1830" s="66">
        <v>8.2638888888888887E-2</v>
      </c>
    </row>
    <row r="1831" spans="2:26" x14ac:dyDescent="0.3">
      <c r="B1831" s="5">
        <f>B1830+50</f>
        <v>14700</v>
      </c>
      <c r="C1831" s="51">
        <v>75.2</v>
      </c>
      <c r="D1831" s="7">
        <v>71.349999999999994</v>
      </c>
      <c r="E1831" s="16"/>
      <c r="F1831" s="98">
        <f t="shared" si="125"/>
        <v>14771.35</v>
      </c>
      <c r="G1831" s="17"/>
      <c r="H1831" s="51">
        <v>94.85</v>
      </c>
      <c r="I1831" s="7">
        <v>83</v>
      </c>
      <c r="J1831" s="7">
        <v>93.3</v>
      </c>
      <c r="K1831" s="7"/>
      <c r="L1831" s="7"/>
      <c r="M1831" s="7">
        <v>63.75</v>
      </c>
      <c r="N1831" s="17"/>
      <c r="P1831" s="17"/>
      <c r="Q1831" s="7">
        <f>(T1831-R1831)*S1831</f>
        <v>0</v>
      </c>
      <c r="R1831" s="7"/>
      <c r="S1831" s="5"/>
      <c r="T1831" s="7"/>
      <c r="U1831" s="101"/>
      <c r="V1831" s="17"/>
      <c r="W1831" s="17"/>
      <c r="X1831" s="17"/>
      <c r="Y1831" s="17"/>
      <c r="Z1831" s="17"/>
    </row>
    <row r="1832" spans="2:26" x14ac:dyDescent="0.3">
      <c r="B1832" s="99">
        <f>B1831+50</f>
        <v>14750</v>
      </c>
      <c r="C1832" s="7">
        <v>60.65</v>
      </c>
      <c r="D1832" s="7">
        <v>57.55</v>
      </c>
      <c r="E1832" s="16"/>
      <c r="F1832" s="7">
        <f t="shared" si="125"/>
        <v>14807.55</v>
      </c>
      <c r="G1832" s="17"/>
      <c r="H1832" s="7">
        <v>75.849999999999994</v>
      </c>
      <c r="I1832" s="7">
        <v>65.55</v>
      </c>
      <c r="J1832" s="7">
        <v>74.2</v>
      </c>
      <c r="K1832" s="7"/>
      <c r="L1832" s="7"/>
      <c r="M1832" s="7">
        <v>48.35</v>
      </c>
      <c r="N1832" s="17"/>
      <c r="P1832" s="17"/>
      <c r="Q1832" s="7">
        <f>(T1832-R1832)*S1832</f>
        <v>0</v>
      </c>
      <c r="R1832" s="7"/>
      <c r="S1832" s="5"/>
      <c r="T1832" s="7"/>
      <c r="U1832" s="101"/>
      <c r="V1832" s="17"/>
      <c r="W1832" s="90" t="s">
        <v>68</v>
      </c>
      <c r="X1832" s="91" t="s">
        <v>69</v>
      </c>
      <c r="Y1832" s="92" t="s">
        <v>70</v>
      </c>
      <c r="Z1832" s="90" t="s">
        <v>68</v>
      </c>
    </row>
    <row r="1833" spans="2:26" x14ac:dyDescent="0.3">
      <c r="B1833" s="5">
        <f>B1832+50</f>
        <v>14800</v>
      </c>
      <c r="C1833" s="7">
        <v>47.9</v>
      </c>
      <c r="D1833" s="7">
        <v>45.35</v>
      </c>
      <c r="E1833" s="16"/>
      <c r="F1833" s="7">
        <f t="shared" si="125"/>
        <v>14845.35</v>
      </c>
      <c r="G1833" s="16"/>
      <c r="H1833" s="7">
        <v>59.45</v>
      </c>
      <c r="I1833" s="7">
        <v>50.55</v>
      </c>
      <c r="J1833" s="7">
        <v>57.8</v>
      </c>
      <c r="K1833" s="7"/>
      <c r="L1833" s="7"/>
      <c r="M1833" s="7">
        <v>35.65</v>
      </c>
      <c r="N1833" s="17"/>
      <c r="P1833" s="17"/>
      <c r="Q1833" s="5" t="s">
        <v>112</v>
      </c>
      <c r="R1833" s="30">
        <f>SUM(Q1829:Q1832)</f>
        <v>-2782.4999999999995</v>
      </c>
      <c r="S1833" s="5">
        <f>SUM(S1829:S1832)</f>
        <v>150</v>
      </c>
      <c r="T1833" s="5">
        <f>(R1833/S1833)*2</f>
        <v>-37.099999999999994</v>
      </c>
      <c r="U1833" s="100"/>
      <c r="V1833" s="17"/>
      <c r="W1833" s="66">
        <v>0.41597222222222219</v>
      </c>
      <c r="X1833" s="7">
        <v>75.2</v>
      </c>
      <c r="Y1833" s="7">
        <v>101.15</v>
      </c>
      <c r="Z1833" s="66">
        <v>0.41597222222222219</v>
      </c>
    </row>
    <row r="1834" spans="2:26" x14ac:dyDescent="0.3">
      <c r="B1834" s="17"/>
      <c r="C1834" s="17"/>
      <c r="D1834" s="16"/>
      <c r="E1834" s="16">
        <f>F1834-(G1834-F1834)</f>
        <v>79.875000000000014</v>
      </c>
      <c r="F1834" s="16">
        <f>AVERAGE(C1830,C1842)</f>
        <v>97.025000000000006</v>
      </c>
      <c r="G1834" s="16">
        <f>AVERAGE(C1829,C1841)</f>
        <v>114.175</v>
      </c>
      <c r="H1834" s="17"/>
      <c r="I1834" s="81"/>
      <c r="J1834" s="17"/>
      <c r="K1834" s="76"/>
      <c r="L1834" s="17"/>
      <c r="M1834" s="17"/>
      <c r="N1834" s="17"/>
      <c r="P1834" s="17"/>
      <c r="Q1834" s="17"/>
      <c r="R1834" s="17"/>
      <c r="S1834" s="17"/>
      <c r="T1834" s="17"/>
      <c r="U1834" s="17"/>
      <c r="V1834" s="16"/>
      <c r="W1834" s="66">
        <v>0.4368055555555555</v>
      </c>
      <c r="X1834" s="7">
        <v>89</v>
      </c>
      <c r="Y1834" s="7">
        <v>80.349999999999994</v>
      </c>
      <c r="Z1834" s="66">
        <v>0.4368055555555555</v>
      </c>
    </row>
    <row r="1835" spans="2:26" x14ac:dyDescent="0.3">
      <c r="B1835" s="17"/>
      <c r="C1835" s="95">
        <v>44287</v>
      </c>
      <c r="D1835" s="17"/>
      <c r="F1835" s="16"/>
      <c r="H1835" s="66">
        <v>0.48541666666666666</v>
      </c>
      <c r="I1835" s="66">
        <v>0.5180555555555556</v>
      </c>
      <c r="J1835" s="66">
        <v>0.52847222222222223</v>
      </c>
      <c r="K1835" s="66"/>
      <c r="L1835" s="66"/>
      <c r="M1835" s="66">
        <v>0.13541666666666666</v>
      </c>
      <c r="N1835" s="17"/>
      <c r="P1835" s="17"/>
      <c r="Q1835" s="7">
        <f>(T1835-R1835)*S1835</f>
        <v>0</v>
      </c>
      <c r="R1835" s="18"/>
      <c r="S1835" s="5"/>
      <c r="T1835" s="7"/>
      <c r="U1835" s="70"/>
      <c r="V1835" s="17"/>
      <c r="W1835" s="66">
        <v>0.45763888888888887</v>
      </c>
      <c r="X1835" s="7">
        <v>73.95</v>
      </c>
      <c r="Y1835" s="7">
        <v>89.6</v>
      </c>
      <c r="Z1835" s="66">
        <v>0.45763888888888887</v>
      </c>
    </row>
    <row r="1836" spans="2:26" x14ac:dyDescent="0.3">
      <c r="B1836" s="90" t="s">
        <v>68</v>
      </c>
      <c r="C1836" s="66">
        <v>0.41666666666666669</v>
      </c>
      <c r="D1836" s="66">
        <v>0.39930555555555558</v>
      </c>
      <c r="E1836" s="16">
        <f>F1836-(G1836-F1836)</f>
        <v>85.750000000000014</v>
      </c>
      <c r="F1836" s="16">
        <f>AVERAGE(C1841,C1830)</f>
        <v>104.45</v>
      </c>
      <c r="G1836" s="16">
        <f>AVERAGE(C1840,C1829)</f>
        <v>123.14999999999999</v>
      </c>
      <c r="H1836" s="7">
        <v>14635</v>
      </c>
      <c r="I1836" s="7">
        <v>14603.3</v>
      </c>
      <c r="J1836" s="7">
        <v>14639</v>
      </c>
      <c r="K1836" s="7"/>
      <c r="L1836" s="7"/>
      <c r="M1836" s="7">
        <v>14594</v>
      </c>
      <c r="N1836" s="17"/>
      <c r="P1836" s="17"/>
      <c r="Q1836" s="7">
        <f>(T1836-R1836)*S1836</f>
        <v>0</v>
      </c>
      <c r="R1836" s="18"/>
      <c r="S1836" s="5"/>
      <c r="T1836" s="7"/>
      <c r="U1836" s="70"/>
      <c r="V1836" s="17"/>
      <c r="W1836" s="66">
        <v>0.47847222222222219</v>
      </c>
      <c r="X1836" s="7">
        <v>83.5</v>
      </c>
      <c r="Y1836" s="7">
        <v>76.400000000000006</v>
      </c>
      <c r="Z1836" s="66">
        <v>0.47847222222222219</v>
      </c>
    </row>
    <row r="1837" spans="2:26" x14ac:dyDescent="0.3">
      <c r="B1837" s="5">
        <f>B1838+50</f>
        <v>14500</v>
      </c>
      <c r="C1837" s="7">
        <v>197.3</v>
      </c>
      <c r="D1837" s="7">
        <v>175.85</v>
      </c>
      <c r="E1837" s="16"/>
      <c r="F1837" s="7">
        <f t="shared" ref="F1837:F1842" si="126">B1837-D1837</f>
        <v>14324.15</v>
      </c>
      <c r="G1837" s="16"/>
      <c r="H1837" s="7">
        <v>138.69999999999999</v>
      </c>
      <c r="I1837" s="7">
        <v>147.05000000000001</v>
      </c>
      <c r="J1837" s="7">
        <v>133.15</v>
      </c>
      <c r="K1837" s="7"/>
      <c r="L1837" s="7"/>
      <c r="M1837" s="7">
        <v>136.05000000000001</v>
      </c>
      <c r="N1837" s="17"/>
      <c r="P1837" s="17"/>
      <c r="Q1837" s="7">
        <f t="shared" ref="Q1837:Q1838" si="127">(T1837-R1837)*S1837</f>
        <v>0</v>
      </c>
      <c r="R1837" s="18"/>
      <c r="S1837" s="99"/>
      <c r="T1837" s="18"/>
      <c r="U1837" s="101"/>
      <c r="V1837" s="16"/>
      <c r="W1837" s="66">
        <v>0.4993055555555555</v>
      </c>
      <c r="X1837" s="7">
        <v>92.3</v>
      </c>
      <c r="Y1837" s="7">
        <v>66.7</v>
      </c>
      <c r="Z1837" s="66">
        <v>0.4993055555555555</v>
      </c>
    </row>
    <row r="1838" spans="2:26" x14ac:dyDescent="0.3">
      <c r="B1838" s="5">
        <f>B1839+50</f>
        <v>14450</v>
      </c>
      <c r="C1838" s="7">
        <v>172.95</v>
      </c>
      <c r="D1838" s="7">
        <v>155.15</v>
      </c>
      <c r="E1838" s="16"/>
      <c r="F1838" s="7">
        <f t="shared" si="126"/>
        <v>14294.85</v>
      </c>
      <c r="G1838" s="17"/>
      <c r="H1838" s="7">
        <v>121.15</v>
      </c>
      <c r="I1838" s="7">
        <v>127.85</v>
      </c>
      <c r="J1838" s="7">
        <v>114.75</v>
      </c>
      <c r="K1838" s="7"/>
      <c r="L1838" s="7"/>
      <c r="M1838" s="7">
        <v>116.25</v>
      </c>
      <c r="N1838" s="17"/>
      <c r="P1838" s="17"/>
      <c r="Q1838" s="7">
        <f t="shared" si="127"/>
        <v>0</v>
      </c>
      <c r="R1838" s="18"/>
      <c r="S1838" s="99"/>
      <c r="T1838" s="18"/>
      <c r="U1838" s="101"/>
      <c r="V1838" s="16"/>
      <c r="W1838" s="66">
        <v>0.52013888888888882</v>
      </c>
      <c r="X1838" s="7">
        <v>85.15</v>
      </c>
      <c r="Y1838" s="7">
        <v>68.8</v>
      </c>
      <c r="Z1838" s="66">
        <v>0.52013888888888882</v>
      </c>
    </row>
    <row r="1839" spans="2:26" x14ac:dyDescent="0.3">
      <c r="B1839" s="97">
        <v>14400</v>
      </c>
      <c r="C1839" s="7">
        <v>152.4</v>
      </c>
      <c r="D1839" s="7">
        <v>136.4</v>
      </c>
      <c r="E1839" s="16"/>
      <c r="F1839" s="7">
        <f t="shared" si="126"/>
        <v>14263.6</v>
      </c>
      <c r="G1839" s="17"/>
      <c r="H1839" s="7">
        <v>105.2</v>
      </c>
      <c r="I1839" s="7">
        <v>110.7</v>
      </c>
      <c r="J1839" s="7">
        <v>99.15</v>
      </c>
      <c r="K1839" s="7"/>
      <c r="L1839" s="7"/>
      <c r="M1839" s="7">
        <v>99</v>
      </c>
      <c r="N1839" s="17"/>
      <c r="P1839" s="17"/>
      <c r="Q1839" s="5" t="s">
        <v>112</v>
      </c>
      <c r="R1839" s="30">
        <f>SUM(Q1835:Q1838)</f>
        <v>0</v>
      </c>
      <c r="S1839" s="5">
        <f>SUM(S1835:S1838)</f>
        <v>0</v>
      </c>
      <c r="T1839" s="5" t="e">
        <f>(R1839/S1839)*2</f>
        <v>#DIV/0!</v>
      </c>
      <c r="U1839" s="100"/>
      <c r="V1839" s="17"/>
      <c r="W1839" s="66">
        <v>0.54097222222222219</v>
      </c>
      <c r="X1839" s="7">
        <v>94.7</v>
      </c>
      <c r="Y1839" s="7">
        <v>62.1</v>
      </c>
      <c r="Z1839" s="66">
        <v>0.54097222222222219</v>
      </c>
    </row>
    <row r="1840" spans="2:26" x14ac:dyDescent="0.3">
      <c r="B1840" s="14">
        <f>B1839-50</f>
        <v>14350</v>
      </c>
      <c r="C1840" s="7">
        <v>133.94999999999999</v>
      </c>
      <c r="D1840" s="23">
        <v>118.8</v>
      </c>
      <c r="E1840" s="16"/>
      <c r="F1840" s="98">
        <f t="shared" si="126"/>
        <v>14231.2</v>
      </c>
      <c r="G1840" s="17"/>
      <c r="H1840" s="7">
        <v>91.2</v>
      </c>
      <c r="I1840" s="7">
        <v>95.55</v>
      </c>
      <c r="J1840" s="7">
        <v>85.65</v>
      </c>
      <c r="K1840" s="7"/>
      <c r="L1840" s="7"/>
      <c r="M1840" s="7">
        <v>83.2</v>
      </c>
      <c r="N1840" s="17"/>
      <c r="P1840" s="17"/>
      <c r="Q1840" s="17"/>
      <c r="R1840" s="17"/>
      <c r="S1840" s="17"/>
      <c r="T1840" s="17"/>
      <c r="U1840" s="17"/>
      <c r="V1840" s="17"/>
      <c r="W1840" s="66">
        <v>6.1805555555555558E-2</v>
      </c>
      <c r="X1840" s="7">
        <v>84.15</v>
      </c>
      <c r="Y1840" s="7">
        <v>63</v>
      </c>
      <c r="Z1840" s="66">
        <v>6.1805555555555558E-2</v>
      </c>
    </row>
    <row r="1841" spans="2:26" x14ac:dyDescent="0.3">
      <c r="B1841" s="99">
        <f>B1840-50</f>
        <v>14300</v>
      </c>
      <c r="C1841" s="7">
        <v>116</v>
      </c>
      <c r="D1841" s="7">
        <v>103.85</v>
      </c>
      <c r="E1841" s="16"/>
      <c r="F1841" s="7">
        <f t="shared" si="126"/>
        <v>14196.15</v>
      </c>
      <c r="G1841" s="17"/>
      <c r="H1841" s="7">
        <v>78.7</v>
      </c>
      <c r="I1841" s="7">
        <v>81.45</v>
      </c>
      <c r="J1841" s="7">
        <v>73.349999999999994</v>
      </c>
      <c r="K1841" s="7"/>
      <c r="L1841" s="7"/>
      <c r="M1841" s="7">
        <v>70.400000000000006</v>
      </c>
      <c r="N1841" s="17"/>
      <c r="P1841" s="17"/>
      <c r="Q1841" s="17"/>
      <c r="R1841" s="17"/>
      <c r="S1841" s="17"/>
      <c r="T1841" s="17"/>
      <c r="U1841" s="17"/>
      <c r="V1841" s="17"/>
      <c r="W1841" s="66">
        <v>8.2638888888888887E-2</v>
      </c>
      <c r="X1841" s="7">
        <v>86.7</v>
      </c>
      <c r="Y1841" s="7">
        <v>55.6</v>
      </c>
      <c r="Z1841" s="66">
        <v>8.2638888888888887E-2</v>
      </c>
    </row>
    <row r="1842" spans="2:26" x14ac:dyDescent="0.3">
      <c r="B1842" s="5">
        <f>B1841-50</f>
        <v>14250</v>
      </c>
      <c r="C1842" s="51">
        <v>101.15</v>
      </c>
      <c r="D1842" s="7">
        <v>90.5</v>
      </c>
      <c r="E1842" s="16"/>
      <c r="F1842" s="7">
        <f t="shared" si="126"/>
        <v>14159.5</v>
      </c>
      <c r="G1842" s="16">
        <f>AVERAGE(H1839,H1828)</f>
        <v>137.5</v>
      </c>
      <c r="H1842" s="51">
        <v>67.5</v>
      </c>
      <c r="I1842" s="7">
        <v>70.55</v>
      </c>
      <c r="J1842" s="7">
        <v>62.85</v>
      </c>
      <c r="K1842" s="7"/>
      <c r="L1842" s="7"/>
      <c r="M1842" s="7">
        <v>58.9</v>
      </c>
      <c r="N1842" s="17"/>
      <c r="P1842" s="98">
        <f>SUM(R1833,R1839)</f>
        <v>-2782.4999999999995</v>
      </c>
      <c r="Q1842" s="92" t="s">
        <v>72</v>
      </c>
      <c r="R1842" s="17"/>
      <c r="S1842" s="92" t="s">
        <v>73</v>
      </c>
      <c r="T1842" s="7">
        <f>((X1834+Y1834)-(X1842+Y1842))</f>
        <v>16.75</v>
      </c>
      <c r="U1842" s="7"/>
      <c r="V1842" s="98">
        <f>T1842*M1823</f>
        <v>2512.5</v>
      </c>
      <c r="W1842" s="66">
        <v>0.48541666666666666</v>
      </c>
      <c r="X1842" s="23">
        <v>94.85</v>
      </c>
      <c r="Y1842" s="7">
        <v>57.75</v>
      </c>
      <c r="Z1842" s="66">
        <v>4.1666666666666664E-2</v>
      </c>
    </row>
    <row r="1843" spans="2:26" x14ac:dyDescent="0.3">
      <c r="H1843" s="101">
        <v>57.75</v>
      </c>
      <c r="I1843" s="101">
        <v>59.95</v>
      </c>
      <c r="J1843" s="101">
        <v>53.45</v>
      </c>
      <c r="K1843" s="101"/>
      <c r="L1843" s="101"/>
      <c r="M1843" s="101">
        <v>49.35</v>
      </c>
    </row>
    <row r="1854" spans="2:26" x14ac:dyDescent="0.3">
      <c r="B1854" s="40"/>
      <c r="C1854" s="50">
        <f>AVERAGE(B1855,D1854)</f>
        <v>14840.25</v>
      </c>
      <c r="D1854" s="51">
        <f>B1855+E1855</f>
        <v>14880.25</v>
      </c>
      <c r="E1854" s="50">
        <f>AVERAGE(D1854,F1854)</f>
        <v>14920.25</v>
      </c>
      <c r="F1854" s="50">
        <f>D1854+E1855</f>
        <v>14960.25</v>
      </c>
      <c r="G1854" s="17"/>
      <c r="H1854" s="88" t="str">
        <f>IF((C1863-D1863)&gt;(C1872-D1872),"LONG",IF(C1872&gt;D1870,"LONG","SHORT"))</f>
        <v>LONG</v>
      </c>
      <c r="I1854" s="104">
        <v>14687</v>
      </c>
      <c r="J1854" s="105" t="s">
        <v>122</v>
      </c>
      <c r="K1854" s="106">
        <v>14806</v>
      </c>
      <c r="L1854" s="17"/>
      <c r="M1854" s="94">
        <f>(175000)/4</f>
        <v>43750</v>
      </c>
      <c r="N1854" s="17"/>
      <c r="P1854" s="16"/>
      <c r="Q1854" s="149" t="s">
        <v>71</v>
      </c>
      <c r="R1854" s="149"/>
      <c r="S1854" s="149" t="s">
        <v>37</v>
      </c>
      <c r="T1854" s="149"/>
      <c r="U1854" s="89"/>
      <c r="V1854" s="17"/>
      <c r="W1854" s="90" t="s">
        <v>68</v>
      </c>
      <c r="X1854" s="91" t="s">
        <v>69</v>
      </c>
      <c r="Y1854" s="92" t="s">
        <v>70</v>
      </c>
      <c r="Z1854" s="90" t="s">
        <v>68</v>
      </c>
    </row>
    <row r="1855" spans="2:26" x14ac:dyDescent="0.3">
      <c r="B1855" s="50">
        <v>14800.25</v>
      </c>
      <c r="C1855" s="40"/>
      <c r="D1855" s="58"/>
      <c r="E1855" s="59">
        <f>ROUND((((B1855*F1855%)/4)/10),0)*10</f>
        <v>80</v>
      </c>
      <c r="F1855" s="51">
        <f>(100/B1855)*(F1864-F1873)</f>
        <v>2.2347595479806084</v>
      </c>
      <c r="G1855" s="17"/>
      <c r="H1855" s="93">
        <v>0.39166666666666666</v>
      </c>
      <c r="I1855" s="93">
        <v>0.39861111111111108</v>
      </c>
      <c r="J1855" s="93">
        <v>0.4055555555555555</v>
      </c>
      <c r="K1855" s="93">
        <v>0.41250000000000003</v>
      </c>
      <c r="L1855" s="17"/>
      <c r="N1855" s="17"/>
      <c r="P1855" s="16"/>
      <c r="Q1855" s="51">
        <f>R1855-(S1855-R1855)</f>
        <v>13684.3</v>
      </c>
      <c r="R1855" s="51">
        <v>14277.8</v>
      </c>
      <c r="S1855" s="51">
        <v>14871.3</v>
      </c>
      <c r="T1855" s="51">
        <f>S1855+(S1855-R1855)</f>
        <v>15464.8</v>
      </c>
      <c r="U1855" s="62"/>
      <c r="V1855" s="17"/>
      <c r="W1855" s="66">
        <v>0.41597222222222219</v>
      </c>
      <c r="X1855" s="7">
        <v>128</v>
      </c>
      <c r="Y1855" s="7">
        <v>129.4</v>
      </c>
      <c r="Z1855" s="66">
        <v>0.41597222222222219</v>
      </c>
    </row>
    <row r="1856" spans="2:26" x14ac:dyDescent="0.3">
      <c r="B1856" s="40"/>
      <c r="C1856" s="50">
        <f>AVERAGE(B1855,D1856)</f>
        <v>14760.25</v>
      </c>
      <c r="D1856" s="51">
        <f>B1855-E1855</f>
        <v>14720.25</v>
      </c>
      <c r="E1856" s="50">
        <f>AVERAGE(D1856,F1856)</f>
        <v>14680.25</v>
      </c>
      <c r="F1856" s="50">
        <f>D1856-E1855</f>
        <v>14640.25</v>
      </c>
      <c r="G1856" s="17"/>
      <c r="H1856" s="51">
        <v>14745.6</v>
      </c>
      <c r="I1856" s="51">
        <v>14792.7</v>
      </c>
      <c r="J1856" s="51">
        <v>14775.7</v>
      </c>
      <c r="K1856" s="51">
        <v>14796</v>
      </c>
      <c r="L1856" s="17"/>
      <c r="M1856" s="94">
        <f>ROUND((M1854/AVERAGE(F1867,F1869))/225,0)*75</f>
        <v>150</v>
      </c>
      <c r="N1856" s="17"/>
      <c r="P1856" s="16"/>
      <c r="Q1856" s="17"/>
      <c r="R1856" s="17"/>
      <c r="S1856" s="17"/>
      <c r="T1856" s="16"/>
      <c r="U1856" s="16"/>
      <c r="V1856" s="17"/>
      <c r="W1856" s="66">
        <v>0.4368055555555555</v>
      </c>
      <c r="X1856" s="7">
        <v>150</v>
      </c>
      <c r="Y1856" s="7">
        <v>114.15</v>
      </c>
      <c r="Z1856" s="66">
        <v>0.4368055555555555</v>
      </c>
    </row>
    <row r="1857" spans="2:26" x14ac:dyDescent="0.3">
      <c r="B1857" s="17"/>
      <c r="C1857" s="17"/>
      <c r="D1857" s="17"/>
      <c r="E1857" s="17"/>
      <c r="F1857" s="16"/>
      <c r="G1857" s="16"/>
      <c r="H1857" s="17"/>
      <c r="I1857" s="17"/>
      <c r="J1857" s="17"/>
      <c r="K1857" s="16"/>
      <c r="L1857" s="17"/>
      <c r="M1857" s="17"/>
      <c r="N1857" s="17"/>
      <c r="P1857" s="16"/>
      <c r="Q1857" s="17"/>
      <c r="R1857" s="17"/>
      <c r="S1857" s="17"/>
      <c r="T1857" s="17"/>
      <c r="U1857" s="17"/>
      <c r="V1857" s="17"/>
      <c r="W1857" s="66">
        <v>0.45763888888888887</v>
      </c>
      <c r="X1857" s="7">
        <v>150.4</v>
      </c>
      <c r="Y1857" s="7">
        <v>112.1</v>
      </c>
      <c r="Z1857" s="66">
        <v>0.45763888888888887</v>
      </c>
    </row>
    <row r="1858" spans="2:26" x14ac:dyDescent="0.3">
      <c r="B1858" s="16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P1858" s="16"/>
      <c r="Q1858" s="17"/>
      <c r="R1858" s="17"/>
      <c r="S1858" s="17"/>
      <c r="T1858" s="17"/>
      <c r="U1858" s="17"/>
      <c r="V1858" s="17"/>
      <c r="W1858" s="66">
        <v>0.47847222222222219</v>
      </c>
      <c r="X1858" s="7">
        <v>148.4</v>
      </c>
      <c r="Y1858" s="7">
        <v>109</v>
      </c>
      <c r="Z1858" s="66">
        <v>0.47847222222222219</v>
      </c>
    </row>
    <row r="1859" spans="2:26" x14ac:dyDescent="0.3">
      <c r="B1859" s="17"/>
      <c r="C1859" s="95">
        <v>44285</v>
      </c>
      <c r="D1859" s="17"/>
      <c r="E1859" s="17"/>
      <c r="F1859" s="7">
        <f>AVERAGE(F1861,F1870)</f>
        <v>14740.674999999999</v>
      </c>
      <c r="G1859" s="96"/>
      <c r="H1859" s="66">
        <v>0.42986111111111108</v>
      </c>
      <c r="I1859" s="66">
        <v>0.50416666666666665</v>
      </c>
      <c r="J1859" s="66">
        <v>0.50416666666666665</v>
      </c>
      <c r="K1859" s="66">
        <v>0.52430555555555558</v>
      </c>
      <c r="L1859" s="66"/>
      <c r="M1859" s="66">
        <v>0.13541666666666666</v>
      </c>
      <c r="N1859" s="17"/>
      <c r="P1859" s="16"/>
      <c r="Q1859" s="17"/>
      <c r="R1859" s="17"/>
      <c r="S1859" s="17"/>
      <c r="T1859" s="17"/>
      <c r="U1859" s="17"/>
      <c r="V1859" s="17"/>
      <c r="W1859" s="66">
        <v>0.4993055555555555</v>
      </c>
      <c r="X1859" s="7">
        <v>149.69999999999999</v>
      </c>
      <c r="Y1859" s="7">
        <v>105.4</v>
      </c>
      <c r="Z1859" s="66">
        <v>0.4993055555555555</v>
      </c>
    </row>
    <row r="1860" spans="2:26" x14ac:dyDescent="0.3">
      <c r="B1860" s="90" t="s">
        <v>68</v>
      </c>
      <c r="C1860" s="66">
        <v>0.41666666666666669</v>
      </c>
      <c r="D1860" s="66">
        <v>0.3888888888888889</v>
      </c>
      <c r="E1860" s="17"/>
      <c r="F1860" s="17"/>
      <c r="G1860" s="17"/>
      <c r="H1860" s="23">
        <v>74</v>
      </c>
      <c r="I1860" s="23">
        <v>53.6</v>
      </c>
      <c r="J1860" s="23">
        <v>129.1</v>
      </c>
      <c r="K1860" s="23">
        <v>150</v>
      </c>
      <c r="L1860" s="23"/>
      <c r="M1860" s="7">
        <v>14920.05</v>
      </c>
      <c r="N1860" s="17"/>
      <c r="P1860" s="17"/>
      <c r="Q1860" s="145" t="s">
        <v>72</v>
      </c>
      <c r="R1860" s="145"/>
      <c r="S1860" s="145"/>
      <c r="T1860" s="145"/>
      <c r="U1860" s="83"/>
      <c r="V1860" s="17"/>
      <c r="W1860" s="66">
        <v>0.52013888888888882</v>
      </c>
      <c r="X1860" s="7">
        <v>139.9</v>
      </c>
      <c r="Y1860" s="7">
        <v>110.6</v>
      </c>
      <c r="Z1860" s="66">
        <v>0.52013888888888882</v>
      </c>
    </row>
    <row r="1861" spans="2:26" x14ac:dyDescent="0.3">
      <c r="B1861" s="5">
        <f>B1862-50</f>
        <v>14750</v>
      </c>
      <c r="C1861" s="7">
        <v>100.3</v>
      </c>
      <c r="D1861" s="7">
        <v>66.900000000000006</v>
      </c>
      <c r="E1861" s="16"/>
      <c r="F1861" s="7">
        <f t="shared" ref="F1861:F1866" si="128">B1861+D1861</f>
        <v>14816.9</v>
      </c>
      <c r="G1861" s="16">
        <f>MIN(AVERAGE(H1861,G1862),G1875)</f>
        <v>129.13124999999999</v>
      </c>
      <c r="H1861" s="7">
        <v>150</v>
      </c>
      <c r="I1861" s="7">
        <v>121.75</v>
      </c>
      <c r="J1861" s="7">
        <v>121.75</v>
      </c>
      <c r="K1861" s="7">
        <v>148.55000000000001</v>
      </c>
      <c r="L1861" s="7"/>
      <c r="M1861" s="7">
        <v>206.6</v>
      </c>
      <c r="N1861" s="17"/>
      <c r="P1861" s="17"/>
      <c r="Q1861" s="26"/>
      <c r="R1861" s="34" t="s">
        <v>2</v>
      </c>
      <c r="S1861" s="34" t="s">
        <v>111</v>
      </c>
      <c r="T1861" s="34" t="s">
        <v>1</v>
      </c>
      <c r="U1861" s="84"/>
      <c r="V1861" s="17"/>
      <c r="W1861" s="66">
        <v>0.54097222222222219</v>
      </c>
      <c r="X1861" s="7">
        <v>141.69999999999999</v>
      </c>
      <c r="Y1861" s="7">
        <v>108</v>
      </c>
      <c r="Z1861" s="66">
        <v>0.54097222222222219</v>
      </c>
    </row>
    <row r="1862" spans="2:26" x14ac:dyDescent="0.3">
      <c r="B1862" s="5">
        <f>B1863-50</f>
        <v>14800</v>
      </c>
      <c r="C1862" s="7">
        <v>76.2</v>
      </c>
      <c r="D1862" s="7">
        <v>48.6</v>
      </c>
      <c r="E1862" s="16"/>
      <c r="F1862" s="7">
        <f t="shared" si="128"/>
        <v>14848.6</v>
      </c>
      <c r="G1862" s="16">
        <f>AVERAGE(H1861:H1864)</f>
        <v>108.26249999999999</v>
      </c>
      <c r="H1862" s="7">
        <v>119.7</v>
      </c>
      <c r="I1862" s="7">
        <v>95.2</v>
      </c>
      <c r="J1862" s="7">
        <v>95.2</v>
      </c>
      <c r="K1862" s="7">
        <v>117.25</v>
      </c>
      <c r="L1862" s="7"/>
      <c r="M1862" s="7">
        <v>170.5</v>
      </c>
      <c r="P1862" s="17"/>
      <c r="Q1862" s="7">
        <f>(T1862-R1862)*S1862</f>
        <v>-798.74999999999932</v>
      </c>
      <c r="R1862" s="7">
        <v>70.349999999999994</v>
      </c>
      <c r="S1862" s="5">
        <v>75</v>
      </c>
      <c r="T1862" s="7">
        <v>59.7</v>
      </c>
      <c r="U1862" s="70"/>
      <c r="V1862" s="17"/>
      <c r="W1862" s="66">
        <v>6.1805555555555558E-2</v>
      </c>
      <c r="X1862" s="7">
        <v>157.4</v>
      </c>
      <c r="Y1862" s="7">
        <v>95</v>
      </c>
      <c r="Z1862" s="66">
        <v>6.1805555555555558E-2</v>
      </c>
    </row>
    <row r="1863" spans="2:26" x14ac:dyDescent="0.3">
      <c r="B1863" s="97">
        <v>14850</v>
      </c>
      <c r="C1863" s="51">
        <v>55.95</v>
      </c>
      <c r="D1863" s="7">
        <v>34.200000000000003</v>
      </c>
      <c r="E1863" s="16"/>
      <c r="F1863" s="7">
        <f t="shared" si="128"/>
        <v>14884.2</v>
      </c>
      <c r="G1863" s="17"/>
      <c r="H1863" s="7">
        <v>93</v>
      </c>
      <c r="I1863" s="7">
        <v>71.3</v>
      </c>
      <c r="J1863" s="7">
        <v>71.3</v>
      </c>
      <c r="K1863" s="7">
        <v>89.85</v>
      </c>
      <c r="L1863" s="7"/>
      <c r="M1863" s="7">
        <v>137.55000000000001</v>
      </c>
      <c r="P1863" s="17"/>
      <c r="Q1863" s="7">
        <f>(T1863-R1863)*S1863</f>
        <v>-798.74999999999932</v>
      </c>
      <c r="R1863" s="7">
        <v>70.349999999999994</v>
      </c>
      <c r="S1863" s="5">
        <v>75</v>
      </c>
      <c r="T1863" s="7">
        <v>59.7</v>
      </c>
      <c r="U1863" s="70"/>
      <c r="V1863" s="17"/>
      <c r="W1863" s="66">
        <v>8.2638888888888887E-2</v>
      </c>
      <c r="X1863" s="7">
        <v>175.4</v>
      </c>
      <c r="Y1863" s="7">
        <v>88</v>
      </c>
      <c r="Z1863" s="66">
        <v>8.2638888888888887E-2</v>
      </c>
    </row>
    <row r="1864" spans="2:26" x14ac:dyDescent="0.3">
      <c r="B1864" s="5">
        <f>B1863+50</f>
        <v>14900</v>
      </c>
      <c r="C1864" s="51">
        <v>39.799999999999997</v>
      </c>
      <c r="D1864" s="23">
        <v>23.25</v>
      </c>
      <c r="E1864" s="16"/>
      <c r="F1864" s="98">
        <f t="shared" si="128"/>
        <v>14923.25</v>
      </c>
      <c r="G1864" s="17"/>
      <c r="H1864" s="7">
        <v>70.349999999999994</v>
      </c>
      <c r="I1864" s="7">
        <v>51.55</v>
      </c>
      <c r="J1864" s="7">
        <v>51.55</v>
      </c>
      <c r="K1864" s="7">
        <v>66.2</v>
      </c>
      <c r="L1864" s="7"/>
      <c r="M1864" s="7">
        <v>107.85</v>
      </c>
      <c r="N1864" s="17"/>
      <c r="P1864" s="17"/>
      <c r="Q1864" s="7">
        <f>(T1864-R1864)*S1864</f>
        <v>0</v>
      </c>
      <c r="R1864" s="7"/>
      <c r="S1864" s="5"/>
      <c r="T1864" s="7"/>
      <c r="U1864" s="101"/>
      <c r="V1864" s="17"/>
      <c r="W1864" s="17"/>
      <c r="X1864" s="17"/>
      <c r="Y1864" s="17"/>
      <c r="Z1864" s="17"/>
    </row>
    <row r="1865" spans="2:26" x14ac:dyDescent="0.3">
      <c r="B1865" s="99">
        <f>B1864+50</f>
        <v>14950</v>
      </c>
      <c r="C1865" s="7">
        <v>26.9</v>
      </c>
      <c r="D1865" s="7">
        <v>15.4</v>
      </c>
      <c r="E1865" s="16"/>
      <c r="F1865" s="7">
        <f t="shared" si="128"/>
        <v>14965.4</v>
      </c>
      <c r="G1865" s="17"/>
      <c r="H1865" s="7">
        <v>50.75</v>
      </c>
      <c r="I1865" s="7">
        <v>35.799999999999997</v>
      </c>
      <c r="J1865" s="7">
        <v>35.799999999999997</v>
      </c>
      <c r="K1865" s="7">
        <v>47.7</v>
      </c>
      <c r="L1865" s="7"/>
      <c r="M1865" s="7">
        <v>82.75</v>
      </c>
      <c r="N1865" s="17"/>
      <c r="P1865" s="17"/>
      <c r="Q1865" s="7">
        <f>(T1865-R1865)*S1865</f>
        <v>0</v>
      </c>
      <c r="R1865" s="7"/>
      <c r="S1865" s="5"/>
      <c r="T1865" s="7"/>
      <c r="U1865" s="101"/>
      <c r="V1865" s="17"/>
      <c r="W1865" s="90" t="s">
        <v>68</v>
      </c>
      <c r="X1865" s="91" t="s">
        <v>69</v>
      </c>
      <c r="Y1865" s="92" t="s">
        <v>70</v>
      </c>
      <c r="Z1865" s="90" t="s">
        <v>68</v>
      </c>
    </row>
    <row r="1866" spans="2:26" x14ac:dyDescent="0.3">
      <c r="B1866" s="5">
        <f>B1865+50</f>
        <v>15000</v>
      </c>
      <c r="C1866" s="7">
        <v>17.75</v>
      </c>
      <c r="D1866" s="7">
        <v>10.4</v>
      </c>
      <c r="E1866" s="16"/>
      <c r="F1866" s="7">
        <f t="shared" si="128"/>
        <v>15010.4</v>
      </c>
      <c r="G1866" s="16"/>
      <c r="H1866" s="7">
        <v>35.4</v>
      </c>
      <c r="I1866" s="7">
        <v>23.5</v>
      </c>
      <c r="J1866" s="7">
        <v>23.5</v>
      </c>
      <c r="K1866" s="7">
        <v>32.15</v>
      </c>
      <c r="L1866" s="7"/>
      <c r="M1866" s="7">
        <v>60.7</v>
      </c>
      <c r="N1866" s="17"/>
      <c r="P1866" s="17"/>
      <c r="Q1866" s="5" t="s">
        <v>112</v>
      </c>
      <c r="R1866" s="30">
        <f>SUM(Q1862:Q1865)</f>
        <v>-1597.4999999999986</v>
      </c>
      <c r="S1866" s="5">
        <f>SUM(S1862:S1865)</f>
        <v>150</v>
      </c>
      <c r="T1866" s="5">
        <f>(R1866/S1866)*2</f>
        <v>-21.299999999999983</v>
      </c>
      <c r="U1866" s="100"/>
      <c r="V1866" s="17"/>
      <c r="W1866" s="66">
        <v>0.41597222222222219</v>
      </c>
      <c r="X1866" s="7">
        <v>55.95</v>
      </c>
      <c r="Y1866" s="7">
        <v>71.8</v>
      </c>
      <c r="Z1866" s="66">
        <v>0.41597222222222219</v>
      </c>
    </row>
    <row r="1867" spans="2:26" x14ac:dyDescent="0.3">
      <c r="B1867" s="17"/>
      <c r="C1867" s="17"/>
      <c r="D1867" s="16"/>
      <c r="E1867" s="16">
        <f>F1867-(G1867-F1867)</f>
        <v>53.675000000000011</v>
      </c>
      <c r="F1867" s="16">
        <f>AVERAGE(C1862,C1875)</f>
        <v>74</v>
      </c>
      <c r="G1867" s="16">
        <f>AVERAGE(C1861,C1874)</f>
        <v>94.324999999999989</v>
      </c>
      <c r="H1867" s="108"/>
      <c r="I1867" s="101"/>
      <c r="J1867" s="101"/>
      <c r="K1867" s="101"/>
      <c r="L1867" s="101"/>
      <c r="M1867" s="101"/>
      <c r="N1867" s="17"/>
      <c r="P1867" s="17"/>
      <c r="Q1867" s="17"/>
      <c r="R1867" s="17"/>
      <c r="S1867" s="17"/>
      <c r="T1867" s="17"/>
      <c r="U1867" s="17"/>
      <c r="V1867" s="16"/>
      <c r="W1867" s="66">
        <v>0.4368055555555555</v>
      </c>
      <c r="X1867" s="7">
        <v>69.25</v>
      </c>
      <c r="Y1867" s="7">
        <v>63.25</v>
      </c>
      <c r="Z1867" s="66">
        <v>0.4368055555555555</v>
      </c>
    </row>
    <row r="1868" spans="2:26" x14ac:dyDescent="0.3">
      <c r="B1868" s="17"/>
      <c r="C1868" s="95">
        <v>44287</v>
      </c>
      <c r="D1868" s="17"/>
      <c r="F1868" s="16"/>
      <c r="H1868" s="66">
        <v>0.42986111111111108</v>
      </c>
      <c r="I1868" s="66">
        <v>0.50416666666666665</v>
      </c>
      <c r="J1868" s="66">
        <v>0.50416666666666665</v>
      </c>
      <c r="K1868" s="66">
        <v>0.52430555555555558</v>
      </c>
      <c r="L1868" s="66"/>
      <c r="M1868" s="66">
        <v>0.13541666666666666</v>
      </c>
      <c r="N1868" s="17"/>
      <c r="P1868" s="17"/>
      <c r="Q1868" s="7">
        <f>(T1868-R1868)*S1868</f>
        <v>0</v>
      </c>
      <c r="R1868" s="18"/>
      <c r="S1868" s="5"/>
      <c r="T1868" s="7"/>
      <c r="U1868" s="70"/>
      <c r="V1868" s="17"/>
      <c r="W1868" s="66">
        <v>0.45763888888888887</v>
      </c>
      <c r="X1868" s="7">
        <v>69.8</v>
      </c>
      <c r="Y1868" s="7">
        <v>62.4</v>
      </c>
      <c r="Z1868" s="66">
        <v>0.45763888888888887</v>
      </c>
    </row>
    <row r="1869" spans="2:26" x14ac:dyDescent="0.3">
      <c r="B1869" s="90" t="s">
        <v>68</v>
      </c>
      <c r="C1869" s="66">
        <v>0.41666666666666669</v>
      </c>
      <c r="D1869" s="66">
        <v>0.41597222222222219</v>
      </c>
      <c r="E1869" s="16">
        <f>F1869-(G1869-F1869)</f>
        <v>60.650000000000006</v>
      </c>
      <c r="F1869" s="16">
        <f>AVERAGE(C1874,C1862)</f>
        <v>82.275000000000006</v>
      </c>
      <c r="G1869" s="16">
        <f>AVERAGE(C1873,C1861)</f>
        <v>103.9</v>
      </c>
      <c r="H1869" s="7">
        <v>14840.2</v>
      </c>
      <c r="I1869" s="7">
        <v>14794.45</v>
      </c>
      <c r="J1869" s="7">
        <v>14794.45</v>
      </c>
      <c r="K1869" s="7">
        <v>14841</v>
      </c>
      <c r="L1869" s="7"/>
      <c r="M1869" s="7">
        <v>14920.05</v>
      </c>
      <c r="N1869" s="17"/>
      <c r="P1869" s="17"/>
      <c r="Q1869" s="7">
        <f>(T1869-R1869)*S1869</f>
        <v>0</v>
      </c>
      <c r="R1869" s="18"/>
      <c r="S1869" s="5"/>
      <c r="T1869" s="7"/>
      <c r="U1869" s="70"/>
      <c r="V1869" s="17"/>
      <c r="W1869" s="66">
        <v>0.47847222222222219</v>
      </c>
      <c r="X1869" s="7">
        <v>67.650000000000006</v>
      </c>
      <c r="Y1869" s="7">
        <v>60.4</v>
      </c>
      <c r="Z1869" s="66">
        <v>0.47847222222222219</v>
      </c>
    </row>
    <row r="1870" spans="2:26" x14ac:dyDescent="0.3">
      <c r="B1870" s="5">
        <f>B1871+50</f>
        <v>14850</v>
      </c>
      <c r="C1870" s="7">
        <v>185.55</v>
      </c>
      <c r="D1870" s="7">
        <v>185.55</v>
      </c>
      <c r="E1870" s="16"/>
      <c r="F1870" s="7">
        <f t="shared" ref="F1870:F1875" si="129">B1870-D1870</f>
        <v>14664.45</v>
      </c>
      <c r="G1870" s="16"/>
      <c r="H1870" s="7">
        <v>165.55</v>
      </c>
      <c r="I1870" s="7">
        <v>181.45</v>
      </c>
      <c r="J1870" s="7">
        <v>181.45</v>
      </c>
      <c r="K1870" s="7">
        <v>153.55000000000001</v>
      </c>
      <c r="L1870" s="7"/>
      <c r="M1870" s="7">
        <v>108.6</v>
      </c>
      <c r="N1870" s="17"/>
      <c r="P1870" s="17"/>
      <c r="Q1870" s="7">
        <f t="shared" ref="Q1870:Q1871" si="130">(T1870-R1870)*S1870</f>
        <v>0</v>
      </c>
      <c r="R1870" s="18"/>
      <c r="S1870" s="99"/>
      <c r="T1870" s="18"/>
      <c r="U1870" s="101"/>
      <c r="V1870" s="16"/>
      <c r="W1870" s="66">
        <v>0.4993055555555555</v>
      </c>
      <c r="X1870" s="7">
        <v>68.3</v>
      </c>
      <c r="Y1870" s="7">
        <v>57.5</v>
      </c>
      <c r="Z1870" s="66">
        <v>0.4993055555555555</v>
      </c>
    </row>
    <row r="1871" spans="2:26" x14ac:dyDescent="0.3">
      <c r="B1871" s="5">
        <f>B1872+50</f>
        <v>14800</v>
      </c>
      <c r="C1871" s="7">
        <v>155.94999999999999</v>
      </c>
      <c r="D1871" s="7">
        <v>155.94999999999999</v>
      </c>
      <c r="E1871" s="16"/>
      <c r="F1871" s="7">
        <f t="shared" si="129"/>
        <v>14644.05</v>
      </c>
      <c r="G1871" s="17"/>
      <c r="H1871" s="7">
        <v>138.25</v>
      </c>
      <c r="I1871" s="7">
        <v>150.94999999999999</v>
      </c>
      <c r="J1871" s="7">
        <v>150.94999999999999</v>
      </c>
      <c r="K1871" s="7">
        <v>126.55</v>
      </c>
      <c r="L1871" s="7"/>
      <c r="M1871" s="7">
        <v>87.75</v>
      </c>
      <c r="N1871" s="17"/>
      <c r="P1871" s="17"/>
      <c r="Q1871" s="7">
        <f t="shared" si="130"/>
        <v>0</v>
      </c>
      <c r="R1871" s="18"/>
      <c r="S1871" s="99"/>
      <c r="T1871" s="18"/>
      <c r="U1871" s="101"/>
      <c r="V1871" s="16"/>
      <c r="W1871" s="66">
        <v>0.52013888888888882</v>
      </c>
      <c r="X1871" s="7">
        <v>61.15</v>
      </c>
      <c r="Y1871" s="7">
        <v>58.85</v>
      </c>
      <c r="Z1871" s="66">
        <v>0.52013888888888882</v>
      </c>
    </row>
    <row r="1872" spans="2:26" x14ac:dyDescent="0.3">
      <c r="B1872" s="97">
        <v>14750</v>
      </c>
      <c r="C1872" s="7">
        <v>129.4</v>
      </c>
      <c r="D1872" s="7">
        <v>129.4</v>
      </c>
      <c r="E1872" s="16"/>
      <c r="F1872" s="7">
        <f t="shared" si="129"/>
        <v>14620.6</v>
      </c>
      <c r="G1872" s="17"/>
      <c r="H1872" s="7">
        <v>114.5</v>
      </c>
      <c r="I1872" s="7">
        <v>125.4</v>
      </c>
      <c r="J1872" s="7">
        <v>125.4</v>
      </c>
      <c r="K1872" s="7">
        <v>104.35</v>
      </c>
      <c r="L1872" s="7"/>
      <c r="M1872" s="7">
        <v>71.3</v>
      </c>
      <c r="N1872" s="17"/>
      <c r="P1872" s="17"/>
      <c r="Q1872" s="5" t="s">
        <v>112</v>
      </c>
      <c r="R1872" s="30">
        <f>SUM(Q1868:Q1871)</f>
        <v>0</v>
      </c>
      <c r="S1872" s="5">
        <f>SUM(S1868:S1871)</f>
        <v>0</v>
      </c>
      <c r="T1872" s="5" t="e">
        <f>(R1872/S1872)*2</f>
        <v>#DIV/0!</v>
      </c>
      <c r="U1872" s="100"/>
      <c r="V1872" s="17"/>
      <c r="W1872" s="66">
        <v>0.54097222222222219</v>
      </c>
      <c r="X1872" s="7">
        <v>61.7</v>
      </c>
      <c r="Y1872" s="7">
        <v>58.25</v>
      </c>
      <c r="Z1872" s="66">
        <v>0.54097222222222219</v>
      </c>
    </row>
    <row r="1873" spans="2:26" x14ac:dyDescent="0.3">
      <c r="B1873" s="14">
        <f>B1872-50</f>
        <v>14700</v>
      </c>
      <c r="C1873" s="7">
        <v>107.5</v>
      </c>
      <c r="D1873" s="23">
        <v>107.5</v>
      </c>
      <c r="E1873" s="16"/>
      <c r="F1873" s="98">
        <f t="shared" si="129"/>
        <v>14592.5</v>
      </c>
      <c r="G1873" s="17"/>
      <c r="H1873" s="7">
        <v>94.45</v>
      </c>
      <c r="I1873" s="7">
        <v>103.4</v>
      </c>
      <c r="J1873" s="7">
        <v>103.4</v>
      </c>
      <c r="K1873" s="7">
        <v>85.2</v>
      </c>
      <c r="L1873" s="7"/>
      <c r="M1873" s="7">
        <v>57.25</v>
      </c>
      <c r="N1873" s="17"/>
      <c r="P1873" s="17"/>
      <c r="Q1873" s="17"/>
      <c r="R1873" s="17"/>
      <c r="S1873" s="17"/>
      <c r="T1873" s="17"/>
      <c r="U1873" s="17"/>
      <c r="V1873" s="17"/>
      <c r="W1873" s="66">
        <v>6.1805555555555558E-2</v>
      </c>
      <c r="X1873" s="7">
        <v>71</v>
      </c>
      <c r="Y1873" s="7">
        <v>50.5</v>
      </c>
      <c r="Z1873" s="66">
        <v>6.1805555555555558E-2</v>
      </c>
    </row>
    <row r="1874" spans="2:26" x14ac:dyDescent="0.3">
      <c r="B1874" s="99">
        <f>B1873-50</f>
        <v>14650</v>
      </c>
      <c r="C1874" s="7">
        <v>88.35</v>
      </c>
      <c r="D1874" s="7">
        <v>88.35</v>
      </c>
      <c r="E1874" s="16"/>
      <c r="F1874" s="7">
        <f t="shared" si="129"/>
        <v>14561.65</v>
      </c>
      <c r="G1874" s="16"/>
      <c r="H1874" s="7">
        <v>77.7</v>
      </c>
      <c r="I1874" s="7">
        <v>83.9</v>
      </c>
      <c r="J1874" s="7">
        <v>83.9</v>
      </c>
      <c r="K1874" s="7">
        <v>69.5</v>
      </c>
      <c r="L1874" s="7"/>
      <c r="M1874" s="7">
        <v>45.65</v>
      </c>
      <c r="N1874" s="17"/>
      <c r="P1874" s="17"/>
      <c r="Q1874" s="17"/>
      <c r="R1874" s="17"/>
      <c r="S1874" s="17"/>
      <c r="T1874" s="17"/>
      <c r="U1874" s="17"/>
      <c r="V1874" s="17"/>
      <c r="W1874" s="66">
        <v>8.2638888888888887E-2</v>
      </c>
      <c r="X1874" s="7">
        <v>83.55</v>
      </c>
      <c r="Y1874" s="7">
        <v>46.55</v>
      </c>
      <c r="Z1874" s="66">
        <v>8.2638888888888887E-2</v>
      </c>
    </row>
    <row r="1875" spans="2:26" x14ac:dyDescent="0.3">
      <c r="B1875" s="5">
        <f>B1874-50</f>
        <v>14600</v>
      </c>
      <c r="C1875" s="51">
        <v>71.8</v>
      </c>
      <c r="D1875" s="7">
        <v>71.8</v>
      </c>
      <c r="E1875" s="16"/>
      <c r="F1875" s="7">
        <f t="shared" si="129"/>
        <v>14528.2</v>
      </c>
      <c r="G1875" s="16">
        <f>AVERAGE(H1872,H1861)</f>
        <v>132.25</v>
      </c>
      <c r="H1875" s="7">
        <v>63.4</v>
      </c>
      <c r="I1875" s="7">
        <v>67.95</v>
      </c>
      <c r="J1875" s="7">
        <v>67.95</v>
      </c>
      <c r="K1875" s="7">
        <v>56.05</v>
      </c>
      <c r="L1875" s="7"/>
      <c r="M1875" s="7">
        <v>36.5</v>
      </c>
      <c r="N1875" s="17"/>
      <c r="P1875" s="98">
        <f>SUM(R1866,R1872)</f>
        <v>-1597.4999999999986</v>
      </c>
      <c r="Q1875" s="92" t="s">
        <v>72</v>
      </c>
      <c r="R1875" s="17"/>
      <c r="S1875" s="92" t="s">
        <v>73</v>
      </c>
      <c r="T1875" s="7">
        <f>((X1867+Y1867)-(X1875+Y1875))</f>
        <v>11.650000000000006</v>
      </c>
      <c r="U1875" s="7"/>
      <c r="V1875" s="98">
        <f>T1875*M1856</f>
        <v>1747.5000000000009</v>
      </c>
      <c r="W1875" s="66">
        <v>0.4368055555555555</v>
      </c>
      <c r="X1875" s="23">
        <v>69.25</v>
      </c>
      <c r="Y1875" s="7">
        <v>51.6</v>
      </c>
      <c r="Z1875" s="66">
        <v>0.48958333333333331</v>
      </c>
    </row>
    <row r="1876" spans="2:26" x14ac:dyDescent="0.3">
      <c r="H1876" s="101">
        <f>H1875-(H1874-H1875)</f>
        <v>49.099999999999994</v>
      </c>
      <c r="I1876" s="101"/>
      <c r="J1876" s="101"/>
      <c r="K1876" s="101"/>
      <c r="L1876" s="101">
        <v>34.85</v>
      </c>
      <c r="M1876" s="101"/>
    </row>
    <row r="1887" spans="2:26" x14ac:dyDescent="0.3">
      <c r="B1887" s="40"/>
      <c r="C1887" s="50">
        <f>AVERAGE(B1888,D1887)</f>
        <v>14860</v>
      </c>
      <c r="D1887" s="51">
        <f>B1888+E1888</f>
        <v>14890</v>
      </c>
      <c r="E1887" s="50">
        <f>AVERAGE(D1887,F1887)</f>
        <v>14920</v>
      </c>
      <c r="F1887" s="50">
        <f>D1887+E1888</f>
        <v>14950</v>
      </c>
      <c r="G1887" s="17"/>
      <c r="H1887" s="88" t="str">
        <f>IF((C1896-D1896)&gt;(C1905-D1905),"LONG",IF(C1905&gt;D1903,"LONG","SHORT"))</f>
        <v>SHORT</v>
      </c>
      <c r="I1887" s="104">
        <v>14808</v>
      </c>
      <c r="J1887" s="105" t="s">
        <v>122</v>
      </c>
      <c r="K1887" s="106">
        <v>14876</v>
      </c>
      <c r="L1887" s="17"/>
      <c r="M1887" s="94">
        <f>(173000)/4</f>
        <v>43250</v>
      </c>
      <c r="N1887" s="17"/>
      <c r="P1887" s="16"/>
      <c r="Q1887" s="149" t="s">
        <v>71</v>
      </c>
      <c r="R1887" s="149"/>
      <c r="S1887" s="149" t="s">
        <v>37</v>
      </c>
      <c r="T1887" s="149"/>
      <c r="U1887" s="89"/>
      <c r="V1887" s="17"/>
      <c r="W1887" s="90" t="s">
        <v>68</v>
      </c>
      <c r="X1887" s="91" t="s">
        <v>69</v>
      </c>
      <c r="Y1887" s="92" t="s">
        <v>70</v>
      </c>
      <c r="Z1887" s="90" t="s">
        <v>68</v>
      </c>
    </row>
    <row r="1888" spans="2:26" x14ac:dyDescent="0.3">
      <c r="B1888" s="50">
        <v>14830</v>
      </c>
      <c r="C1888" s="40"/>
      <c r="D1888" s="58"/>
      <c r="E1888" s="59">
        <f>ROUND((((B1888*F1888%)/4)/10),0)*10</f>
        <v>60</v>
      </c>
      <c r="F1888" s="51">
        <f>(100/B1888)*(F1897-F1906)</f>
        <v>1.7400539447066707</v>
      </c>
      <c r="G1888" s="17"/>
      <c r="H1888" s="93">
        <v>0.39166666666666666</v>
      </c>
      <c r="I1888" s="93">
        <v>0.39861111111111108</v>
      </c>
      <c r="J1888" s="93">
        <v>0.4055555555555555</v>
      </c>
      <c r="K1888" s="93">
        <v>0.41250000000000003</v>
      </c>
      <c r="L1888" s="17"/>
      <c r="N1888" s="17"/>
      <c r="P1888" s="16"/>
      <c r="Q1888" s="51">
        <f>R1888-(S1888-R1888)</f>
        <v>13635.349999999999</v>
      </c>
      <c r="R1888" s="51">
        <v>14277.8</v>
      </c>
      <c r="S1888" s="51">
        <v>14920.25</v>
      </c>
      <c r="T1888" s="51">
        <f>S1888+(S1888-R1888)</f>
        <v>15562.7</v>
      </c>
      <c r="U1888" s="62"/>
      <c r="V1888" s="17"/>
      <c r="W1888" s="66">
        <v>0.41597222222222219</v>
      </c>
      <c r="X1888" s="7">
        <v>102</v>
      </c>
      <c r="Y1888" s="7">
        <v>138.94999999999999</v>
      </c>
      <c r="Z1888" s="66">
        <v>0.41597222222222219</v>
      </c>
    </row>
    <row r="1889" spans="2:26" x14ac:dyDescent="0.3">
      <c r="B1889" s="40"/>
      <c r="C1889" s="50">
        <f>AVERAGE(B1888,D1889)</f>
        <v>14800</v>
      </c>
      <c r="D1889" s="51">
        <f>B1888-E1888</f>
        <v>14770</v>
      </c>
      <c r="E1889" s="50">
        <f>AVERAGE(D1889,F1889)</f>
        <v>14740</v>
      </c>
      <c r="F1889" s="50">
        <f>D1889-E1888</f>
        <v>14710</v>
      </c>
      <c r="G1889" s="17"/>
      <c r="H1889" s="51">
        <v>14841.35</v>
      </c>
      <c r="I1889" s="51">
        <v>14818.95</v>
      </c>
      <c r="J1889" s="51">
        <v>14855.75</v>
      </c>
      <c r="K1889" s="51">
        <v>14833</v>
      </c>
      <c r="L1889" s="17"/>
      <c r="M1889" s="94">
        <f>ROUND((M1887/AVERAGE(F1900,F1902))/225,0)*75</f>
        <v>225</v>
      </c>
      <c r="N1889" s="17"/>
      <c r="P1889" s="16"/>
      <c r="Q1889" s="17"/>
      <c r="R1889" s="17"/>
      <c r="S1889" s="17"/>
      <c r="T1889" s="16"/>
      <c r="U1889" s="16"/>
      <c r="V1889" s="17"/>
      <c r="W1889" s="66">
        <v>0.4368055555555555</v>
      </c>
      <c r="X1889" s="7">
        <v>86.6</v>
      </c>
      <c r="Y1889" s="7">
        <v>157.05000000000001</v>
      </c>
      <c r="Z1889" s="66">
        <v>0.4368055555555555</v>
      </c>
    </row>
    <row r="1890" spans="2:26" x14ac:dyDescent="0.3">
      <c r="B1890" s="17"/>
      <c r="C1890" s="17"/>
      <c r="D1890" s="17"/>
      <c r="E1890" s="17"/>
      <c r="F1890" s="16"/>
      <c r="G1890" s="16"/>
      <c r="H1890" s="17"/>
      <c r="I1890" s="17"/>
      <c r="J1890" s="17"/>
      <c r="K1890" s="16"/>
      <c r="L1890" s="17"/>
      <c r="M1890" s="17"/>
      <c r="N1890" s="17"/>
      <c r="P1890" s="16"/>
      <c r="Q1890" s="17"/>
      <c r="R1890" s="17"/>
      <c r="S1890" s="17"/>
      <c r="T1890" s="17"/>
      <c r="U1890" s="17"/>
      <c r="V1890" s="17"/>
      <c r="W1890" s="66">
        <v>0.45763888888888887</v>
      </c>
      <c r="X1890" s="7">
        <v>81.900000000000006</v>
      </c>
      <c r="Y1890" s="7">
        <v>162.1</v>
      </c>
      <c r="Z1890" s="66">
        <v>0.45763888888888887</v>
      </c>
    </row>
    <row r="1891" spans="2:26" x14ac:dyDescent="0.3">
      <c r="B1891" s="16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P1891" s="16"/>
      <c r="Q1891" s="17"/>
      <c r="R1891" s="17"/>
      <c r="S1891" s="17"/>
      <c r="T1891" s="17"/>
      <c r="U1891" s="17"/>
      <c r="V1891" s="17"/>
      <c r="W1891" s="66">
        <v>0.47847222222222219</v>
      </c>
      <c r="X1891" s="7">
        <v>87.05</v>
      </c>
      <c r="Y1891" s="7">
        <v>154.25</v>
      </c>
      <c r="Z1891" s="66">
        <v>0.47847222222222219</v>
      </c>
    </row>
    <row r="1892" spans="2:26" x14ac:dyDescent="0.3">
      <c r="B1892" s="17"/>
      <c r="C1892" s="95">
        <v>44286</v>
      </c>
      <c r="D1892" s="17"/>
      <c r="E1892" s="17"/>
      <c r="F1892" s="7">
        <f>AVERAGE(F1894,F1903)</f>
        <v>14794.349999999999</v>
      </c>
      <c r="G1892" s="96"/>
      <c r="H1892" s="66">
        <v>0.41666666666666669</v>
      </c>
      <c r="I1892" s="66">
        <v>4.5138888888888888E-2</v>
      </c>
      <c r="J1892" s="66">
        <v>5.5555555555555552E-2</v>
      </c>
      <c r="K1892" s="66">
        <v>7.2222222222222229E-2</v>
      </c>
      <c r="L1892" s="66"/>
      <c r="M1892" s="66">
        <v>0.13541666666666666</v>
      </c>
      <c r="N1892" s="17"/>
      <c r="P1892" s="16"/>
      <c r="Q1892" s="17"/>
      <c r="R1892" s="17"/>
      <c r="S1892" s="17"/>
      <c r="T1892" s="17"/>
      <c r="U1892" s="17"/>
      <c r="V1892" s="17"/>
      <c r="W1892" s="66">
        <v>0.4993055555555555</v>
      </c>
      <c r="X1892" s="7">
        <v>80</v>
      </c>
      <c r="Y1892" s="7">
        <v>160</v>
      </c>
      <c r="Z1892" s="66">
        <v>0.4993055555555555</v>
      </c>
    </row>
    <row r="1893" spans="2:26" x14ac:dyDescent="0.3">
      <c r="B1893" s="90" t="s">
        <v>68</v>
      </c>
      <c r="C1893" s="66">
        <v>0.41666666666666669</v>
      </c>
      <c r="D1893" s="66">
        <v>0.39305555555555555</v>
      </c>
      <c r="E1893" s="17"/>
      <c r="F1893" s="17"/>
      <c r="G1893" s="17"/>
      <c r="H1893" s="7">
        <v>14817.85</v>
      </c>
      <c r="I1893" s="7">
        <v>14828</v>
      </c>
      <c r="J1893" s="7">
        <v>14741.55</v>
      </c>
      <c r="K1893" s="7">
        <v>14775.3</v>
      </c>
      <c r="L1893" s="7"/>
      <c r="M1893" s="7">
        <v>14752</v>
      </c>
      <c r="N1893" s="17"/>
      <c r="P1893" s="16"/>
      <c r="Q1893" s="150" t="s">
        <v>72</v>
      </c>
      <c r="R1893" s="151"/>
      <c r="S1893" s="151"/>
      <c r="T1893" s="152"/>
      <c r="U1893" s="83"/>
      <c r="V1893" s="17"/>
      <c r="W1893" s="66">
        <v>0.52013888888888882</v>
      </c>
      <c r="X1893" s="7">
        <v>77.849999999999994</v>
      </c>
      <c r="Y1893" s="7">
        <v>158.69999999999999</v>
      </c>
      <c r="Z1893" s="66">
        <v>0.52013888888888882</v>
      </c>
    </row>
    <row r="1894" spans="2:26" x14ac:dyDescent="0.3">
      <c r="B1894" s="5">
        <f>B1895-50</f>
        <v>14750</v>
      </c>
      <c r="C1894" s="7">
        <v>102</v>
      </c>
      <c r="D1894" s="7">
        <v>92.65</v>
      </c>
      <c r="E1894" s="16"/>
      <c r="F1894" s="7">
        <f t="shared" ref="F1894:F1899" si="131">B1894+D1894</f>
        <v>14842.65</v>
      </c>
      <c r="G1894" s="16">
        <f>AVERAGE(H1904,H1894)</f>
        <v>122.02500000000001</v>
      </c>
      <c r="H1894" s="7">
        <v>96.05</v>
      </c>
      <c r="I1894" s="7">
        <v>94.3</v>
      </c>
      <c r="J1894" s="7">
        <v>57.25</v>
      </c>
      <c r="K1894" s="7">
        <v>67.5</v>
      </c>
      <c r="L1894" s="7"/>
      <c r="M1894" s="7">
        <v>53.5</v>
      </c>
      <c r="N1894" s="17"/>
      <c r="P1894" s="16"/>
      <c r="Q1894" s="34"/>
      <c r="R1894" s="34" t="s">
        <v>111</v>
      </c>
      <c r="S1894" s="34" t="s">
        <v>2</v>
      </c>
      <c r="T1894" s="34" t="s">
        <v>1</v>
      </c>
      <c r="U1894" s="84"/>
      <c r="V1894" s="17"/>
      <c r="W1894" s="66">
        <v>0.54097222222222219</v>
      </c>
      <c r="X1894" s="7">
        <v>81.349999999999994</v>
      </c>
      <c r="Y1894" s="7">
        <v>152.1</v>
      </c>
      <c r="Z1894" s="66">
        <v>0.54097222222222219</v>
      </c>
    </row>
    <row r="1895" spans="2:26" x14ac:dyDescent="0.3">
      <c r="B1895" s="5">
        <f>B1896-50</f>
        <v>14800</v>
      </c>
      <c r="C1895" s="7">
        <v>75.5</v>
      </c>
      <c r="D1895" s="7">
        <v>68.2</v>
      </c>
      <c r="E1895" s="16"/>
      <c r="F1895" s="7">
        <f t="shared" si="131"/>
        <v>14868.2</v>
      </c>
      <c r="G1895" s="16"/>
      <c r="H1895" s="7">
        <v>70.599999999999994</v>
      </c>
      <c r="I1895" s="7">
        <v>68.400000000000006</v>
      </c>
      <c r="J1895" s="7">
        <v>38.950000000000003</v>
      </c>
      <c r="K1895" s="7">
        <v>46.15</v>
      </c>
      <c r="L1895" s="7"/>
      <c r="M1895" s="7">
        <v>35.1</v>
      </c>
      <c r="N1895" s="17"/>
      <c r="P1895" s="16"/>
      <c r="Q1895" s="7">
        <f>(T1895-S1895)*R1895</f>
        <v>0</v>
      </c>
      <c r="R1895" s="109"/>
      <c r="S1895" s="7"/>
      <c r="T1895" s="7"/>
      <c r="U1895" s="70"/>
      <c r="V1895" s="17"/>
      <c r="W1895" s="66">
        <v>6.1805555555555558E-2</v>
      </c>
      <c r="X1895" s="7">
        <v>59.45</v>
      </c>
      <c r="Y1895" s="7">
        <v>186.65</v>
      </c>
      <c r="Z1895" s="66">
        <v>6.1805555555555558E-2</v>
      </c>
    </row>
    <row r="1896" spans="2:26" x14ac:dyDescent="0.3">
      <c r="B1896" s="97">
        <v>14850</v>
      </c>
      <c r="C1896" s="7">
        <v>54.6</v>
      </c>
      <c r="D1896" s="7">
        <v>48.05</v>
      </c>
      <c r="E1896" s="16"/>
      <c r="F1896" s="7">
        <f t="shared" si="131"/>
        <v>14898.05</v>
      </c>
      <c r="G1896" s="17"/>
      <c r="H1896" s="7">
        <v>50.75</v>
      </c>
      <c r="I1896" s="7">
        <v>48.35</v>
      </c>
      <c r="J1896" s="7">
        <v>25.85</v>
      </c>
      <c r="K1896" s="7">
        <v>30.45</v>
      </c>
      <c r="L1896" s="7"/>
      <c r="M1896" s="7">
        <v>22.1</v>
      </c>
      <c r="N1896" s="17"/>
      <c r="P1896" s="16"/>
      <c r="Q1896" s="7">
        <f t="shared" ref="Q1896:Q1898" si="132">(T1896-S1896)*R1896</f>
        <v>0</v>
      </c>
      <c r="R1896" s="109"/>
      <c r="S1896" s="7"/>
      <c r="T1896" s="7"/>
      <c r="U1896" s="70"/>
      <c r="V1896" s="17"/>
      <c r="W1896" s="66">
        <v>8.2638888888888887E-2</v>
      </c>
      <c r="X1896" s="7">
        <v>70.349999999999994</v>
      </c>
      <c r="Y1896" s="7">
        <v>155</v>
      </c>
      <c r="Z1896" s="66">
        <v>8.2638888888888887E-2</v>
      </c>
    </row>
    <row r="1897" spans="2:26" x14ac:dyDescent="0.3">
      <c r="B1897" s="5">
        <f>B1896+50</f>
        <v>14900</v>
      </c>
      <c r="C1897" s="51">
        <v>37.799999999999997</v>
      </c>
      <c r="D1897" s="23">
        <v>32.549999999999997</v>
      </c>
      <c r="E1897" s="16"/>
      <c r="F1897" s="98">
        <f t="shared" si="131"/>
        <v>14932.55</v>
      </c>
      <c r="G1897" s="17"/>
      <c r="H1897" s="7">
        <v>35</v>
      </c>
      <c r="I1897" s="7">
        <v>33</v>
      </c>
      <c r="J1897" s="7">
        <v>16.350000000000001</v>
      </c>
      <c r="K1897" s="7">
        <v>19.600000000000001</v>
      </c>
      <c r="L1897" s="7"/>
      <c r="M1897" s="7">
        <v>13.45</v>
      </c>
      <c r="N1897" s="17"/>
      <c r="P1897" s="16"/>
      <c r="Q1897" s="7">
        <f t="shared" si="132"/>
        <v>0</v>
      </c>
      <c r="R1897" s="109"/>
      <c r="S1897" s="18"/>
      <c r="T1897" s="18"/>
      <c r="U1897" s="101"/>
      <c r="V1897" s="17"/>
      <c r="W1897" s="17"/>
      <c r="X1897" s="17"/>
      <c r="Y1897" s="17"/>
      <c r="Z1897" s="17"/>
    </row>
    <row r="1898" spans="2:26" x14ac:dyDescent="0.3">
      <c r="B1898" s="99">
        <f>B1897+50</f>
        <v>14950</v>
      </c>
      <c r="C1898" s="7">
        <v>25.5</v>
      </c>
      <c r="D1898" s="7">
        <v>21.5</v>
      </c>
      <c r="E1898" s="16"/>
      <c r="F1898" s="7">
        <f t="shared" si="131"/>
        <v>14971.5</v>
      </c>
      <c r="G1898" s="17"/>
      <c r="H1898" s="7">
        <v>23.5</v>
      </c>
      <c r="I1898" s="7">
        <v>21.9</v>
      </c>
      <c r="J1898" s="7">
        <v>10.75</v>
      </c>
      <c r="K1898" s="7">
        <v>12.2</v>
      </c>
      <c r="L1898" s="7"/>
      <c r="M1898" s="7">
        <v>8.0500000000000007</v>
      </c>
      <c r="N1898" s="17"/>
      <c r="P1898" s="16"/>
      <c r="Q1898" s="7">
        <f t="shared" si="132"/>
        <v>0</v>
      </c>
      <c r="R1898" s="109"/>
      <c r="S1898" s="18"/>
      <c r="T1898" s="18"/>
      <c r="U1898" s="101"/>
      <c r="V1898" s="17"/>
      <c r="W1898" s="90" t="s">
        <v>68</v>
      </c>
      <c r="X1898" s="91" t="s">
        <v>69</v>
      </c>
      <c r="Y1898" s="92" t="s">
        <v>70</v>
      </c>
      <c r="Z1898" s="90" t="s">
        <v>68</v>
      </c>
    </row>
    <row r="1899" spans="2:26" x14ac:dyDescent="0.3">
      <c r="B1899" s="5">
        <f>B1898+50</f>
        <v>15000</v>
      </c>
      <c r="C1899" s="7">
        <v>16.7</v>
      </c>
      <c r="D1899" s="7">
        <v>14.05</v>
      </c>
      <c r="E1899" s="16"/>
      <c r="F1899" s="7">
        <f t="shared" si="131"/>
        <v>15014.05</v>
      </c>
      <c r="G1899" s="16"/>
      <c r="H1899" s="7">
        <v>15.4</v>
      </c>
      <c r="I1899" s="7">
        <v>14.4</v>
      </c>
      <c r="J1899" s="7">
        <v>7.15</v>
      </c>
      <c r="K1899" s="7">
        <v>8</v>
      </c>
      <c r="L1899" s="7"/>
      <c r="M1899" s="7">
        <v>5.2</v>
      </c>
      <c r="N1899" s="17"/>
      <c r="P1899" s="17"/>
      <c r="Q1899" s="5" t="s">
        <v>112</v>
      </c>
      <c r="R1899" s="7">
        <f>SUM(Q1895:Q1898)</f>
        <v>0</v>
      </c>
      <c r="S1899" s="5">
        <f>SUM(S1895:S1898)</f>
        <v>0</v>
      </c>
      <c r="T1899" s="5" t="e">
        <f>(R1899/S1899)*2</f>
        <v>#DIV/0!</v>
      </c>
      <c r="U1899" s="100"/>
      <c r="V1899" s="17"/>
      <c r="W1899" s="66">
        <v>0.41597222222222219</v>
      </c>
      <c r="X1899" s="7">
        <v>37.799999999999997</v>
      </c>
      <c r="Y1899" s="7">
        <v>66.650000000000006</v>
      </c>
      <c r="Z1899" s="66">
        <v>0.41597222222222219</v>
      </c>
    </row>
    <row r="1900" spans="2:26" x14ac:dyDescent="0.3">
      <c r="B1900" s="17"/>
      <c r="C1900" s="17"/>
      <c r="D1900" s="16"/>
      <c r="E1900" s="16">
        <f>F1900-(G1900-F1900)</f>
        <v>40.400000000000006</v>
      </c>
      <c r="F1900" s="16">
        <f>AVERAGE(C1896,C1907)</f>
        <v>60.625</v>
      </c>
      <c r="G1900" s="16">
        <f>AVERAGE(C1895,C1906)</f>
        <v>80.849999999999994</v>
      </c>
      <c r="H1900" s="101"/>
      <c r="I1900" s="101"/>
      <c r="J1900" s="101"/>
      <c r="K1900" s="101"/>
      <c r="L1900" s="101"/>
      <c r="M1900" s="101"/>
      <c r="N1900" s="17"/>
      <c r="P1900" s="17"/>
      <c r="Q1900" s="17"/>
      <c r="R1900" s="17"/>
      <c r="S1900" s="17"/>
      <c r="T1900" s="17"/>
      <c r="U1900" s="17"/>
      <c r="V1900" s="16"/>
      <c r="W1900" s="66">
        <v>0.4368055555555555</v>
      </c>
      <c r="X1900" s="7">
        <v>31.15</v>
      </c>
      <c r="Y1900" s="7">
        <v>77.150000000000006</v>
      </c>
      <c r="Z1900" s="66">
        <v>0.4368055555555555</v>
      </c>
    </row>
    <row r="1901" spans="2:26" x14ac:dyDescent="0.3">
      <c r="B1901" s="17"/>
      <c r="C1901" s="95">
        <v>44287</v>
      </c>
      <c r="D1901" s="17"/>
      <c r="F1901" s="16"/>
      <c r="H1901" s="66">
        <v>0.41666666666666669</v>
      </c>
      <c r="I1901" s="66">
        <v>4.5138888888888888E-2</v>
      </c>
      <c r="J1901" s="66">
        <v>5.5555555555555552E-2</v>
      </c>
      <c r="K1901" s="66">
        <v>7.2222222222222229E-2</v>
      </c>
      <c r="L1901" s="66"/>
      <c r="M1901" s="66">
        <v>0.13541666666666666</v>
      </c>
      <c r="P1901" s="17"/>
      <c r="Q1901" s="7">
        <f>(T1901-S1901)*R1901</f>
        <v>1533.7500000000002</v>
      </c>
      <c r="R1901" s="109">
        <v>75</v>
      </c>
      <c r="S1901" s="7">
        <v>72.5</v>
      </c>
      <c r="T1901" s="7">
        <v>92.95</v>
      </c>
      <c r="U1901" s="70"/>
      <c r="V1901" s="17"/>
      <c r="W1901" s="66">
        <v>0.45763888888888887</v>
      </c>
      <c r="X1901" s="7">
        <v>27.45</v>
      </c>
      <c r="Y1901" s="7">
        <v>81.25</v>
      </c>
      <c r="Z1901" s="66">
        <v>0.45763888888888887</v>
      </c>
    </row>
    <row r="1902" spans="2:26" x14ac:dyDescent="0.3">
      <c r="B1902" s="90" t="s">
        <v>68</v>
      </c>
      <c r="C1902" s="66">
        <v>0.41666666666666669</v>
      </c>
      <c r="D1902" s="66">
        <v>0.40486111111111112</v>
      </c>
      <c r="E1902" s="16">
        <f>F1902-(G1902-F1902)</f>
        <v>47.850000000000009</v>
      </c>
      <c r="F1902" s="16">
        <f>AVERAGE(C1906,C1896)</f>
        <v>70.400000000000006</v>
      </c>
      <c r="G1902" s="16">
        <f>AVERAGE(C1905,C1895)</f>
        <v>92.95</v>
      </c>
      <c r="H1902" s="23">
        <v>70.400000000000006</v>
      </c>
      <c r="I1902" s="23">
        <v>122</v>
      </c>
      <c r="J1902" s="23">
        <v>92.95</v>
      </c>
      <c r="K1902" s="23">
        <v>157</v>
      </c>
      <c r="L1902" s="7"/>
      <c r="M1902" s="7">
        <v>14752</v>
      </c>
      <c r="P1902" s="17"/>
      <c r="Q1902" s="7">
        <f t="shared" ref="Q1902:Q1904" si="133">(T1902-S1902)*R1902</f>
        <v>-569.99999999999955</v>
      </c>
      <c r="R1902" s="109">
        <v>75</v>
      </c>
      <c r="S1902" s="7">
        <v>72.5</v>
      </c>
      <c r="T1902" s="18">
        <v>64.900000000000006</v>
      </c>
      <c r="U1902" s="101"/>
      <c r="V1902" s="17"/>
      <c r="W1902" s="66">
        <v>0.47847222222222219</v>
      </c>
      <c r="X1902" s="7">
        <v>30.35</v>
      </c>
      <c r="Y1902" s="7">
        <v>74.3</v>
      </c>
      <c r="Z1902" s="66">
        <v>0.47847222222222219</v>
      </c>
    </row>
    <row r="1903" spans="2:26" x14ac:dyDescent="0.3">
      <c r="B1903" s="5">
        <f>B1904+50</f>
        <v>14900</v>
      </c>
      <c r="C1903" s="7">
        <v>171.7</v>
      </c>
      <c r="D1903" s="7">
        <v>153.94999999999999</v>
      </c>
      <c r="E1903" s="16"/>
      <c r="F1903" s="7">
        <f t="shared" ref="F1903:F1908" si="134">B1903-D1903</f>
        <v>14746.05</v>
      </c>
      <c r="G1903" s="16"/>
      <c r="H1903" s="7">
        <v>182</v>
      </c>
      <c r="I1903" s="7">
        <v>164.35</v>
      </c>
      <c r="J1903" s="7">
        <v>234</v>
      </c>
      <c r="K1903" s="7">
        <v>198.75</v>
      </c>
      <c r="L1903" s="7"/>
      <c r="M1903" s="7">
        <v>212.35</v>
      </c>
      <c r="N1903" s="17"/>
      <c r="P1903" s="17"/>
      <c r="Q1903" s="7">
        <f t="shared" si="133"/>
        <v>0</v>
      </c>
      <c r="R1903" s="109"/>
      <c r="S1903" s="18"/>
      <c r="T1903" s="18"/>
      <c r="U1903" s="101"/>
      <c r="V1903" s="16"/>
      <c r="W1903" s="66">
        <v>0.4993055555555555</v>
      </c>
      <c r="X1903" s="7">
        <v>26.7</v>
      </c>
      <c r="Y1903" s="7">
        <v>77.55</v>
      </c>
      <c r="Z1903" s="66">
        <v>0.4993055555555555</v>
      </c>
    </row>
    <row r="1904" spans="2:26" x14ac:dyDescent="0.3">
      <c r="B1904" s="5">
        <f>B1905+50</f>
        <v>14850</v>
      </c>
      <c r="C1904" s="7">
        <v>138.94999999999999</v>
      </c>
      <c r="D1904" s="7">
        <v>123.05</v>
      </c>
      <c r="E1904" s="16"/>
      <c r="F1904" s="7">
        <f t="shared" si="134"/>
        <v>14726.95</v>
      </c>
      <c r="G1904" s="17"/>
      <c r="H1904" s="7">
        <v>148</v>
      </c>
      <c r="I1904" s="7">
        <v>130</v>
      </c>
      <c r="J1904" s="7">
        <v>193.4</v>
      </c>
      <c r="K1904" s="7">
        <v>159</v>
      </c>
      <c r="L1904" s="7"/>
      <c r="M1904" s="7">
        <v>172.3</v>
      </c>
      <c r="N1904" s="17"/>
      <c r="P1904" s="17"/>
      <c r="Q1904" s="7">
        <f t="shared" si="133"/>
        <v>0</v>
      </c>
      <c r="R1904" s="109"/>
      <c r="S1904" s="18"/>
      <c r="T1904" s="18"/>
      <c r="U1904" s="101"/>
      <c r="V1904" s="16"/>
      <c r="W1904" s="66">
        <v>0.52013888888888882</v>
      </c>
      <c r="X1904" s="7">
        <v>25.6</v>
      </c>
      <c r="Y1904" s="7">
        <v>75.25</v>
      </c>
      <c r="Z1904" s="66">
        <v>0.52013888888888882</v>
      </c>
    </row>
    <row r="1905" spans="2:26" x14ac:dyDescent="0.3">
      <c r="B1905" s="97">
        <v>14800</v>
      </c>
      <c r="C1905" s="7">
        <v>110.4</v>
      </c>
      <c r="D1905" s="7">
        <v>96.85</v>
      </c>
      <c r="E1905" s="16"/>
      <c r="F1905" s="7">
        <f t="shared" si="134"/>
        <v>14703.15</v>
      </c>
      <c r="G1905" s="17"/>
      <c r="H1905" s="7">
        <v>117.7</v>
      </c>
      <c r="I1905" s="7">
        <v>100.2</v>
      </c>
      <c r="J1905" s="7">
        <v>157</v>
      </c>
      <c r="K1905" s="7">
        <v>125.4</v>
      </c>
      <c r="L1905" s="7"/>
      <c r="M1905" s="7">
        <v>135</v>
      </c>
      <c r="N1905" s="17"/>
      <c r="P1905" s="17"/>
      <c r="Q1905" s="5" t="s">
        <v>112</v>
      </c>
      <c r="R1905" s="7">
        <f>SUM(Q1901:Q1904)</f>
        <v>963.75000000000068</v>
      </c>
      <c r="S1905" s="5">
        <f>SUM(S1901:S1904)</f>
        <v>145</v>
      </c>
      <c r="T1905" s="5">
        <f>(R1905/S1905)*2</f>
        <v>13.293103448275872</v>
      </c>
      <c r="U1905" s="100"/>
      <c r="V1905" s="17"/>
      <c r="W1905" s="66">
        <v>0.54097222222222219</v>
      </c>
      <c r="X1905" s="7">
        <v>27.35</v>
      </c>
      <c r="Y1905" s="7">
        <v>71</v>
      </c>
      <c r="Z1905" s="66">
        <v>0.54097222222222219</v>
      </c>
    </row>
    <row r="1906" spans="2:26" x14ac:dyDescent="0.3">
      <c r="B1906" s="14">
        <f>B1905-50</f>
        <v>14750</v>
      </c>
      <c r="C1906" s="7">
        <v>86.2</v>
      </c>
      <c r="D1906" s="23">
        <v>75.5</v>
      </c>
      <c r="E1906" s="16"/>
      <c r="F1906" s="98">
        <f t="shared" si="134"/>
        <v>14674.5</v>
      </c>
      <c r="G1906" s="17"/>
      <c r="H1906" s="7">
        <v>93.15</v>
      </c>
      <c r="I1906" s="7">
        <v>76.349999999999994</v>
      </c>
      <c r="J1906" s="7">
        <v>124.75</v>
      </c>
      <c r="K1906" s="7">
        <v>97</v>
      </c>
      <c r="L1906" s="7"/>
      <c r="M1906" s="7">
        <v>102.75</v>
      </c>
      <c r="N1906" s="17"/>
      <c r="P1906" s="17"/>
      <c r="Q1906" s="17"/>
      <c r="R1906" s="17"/>
      <c r="S1906" s="17"/>
      <c r="T1906" s="17"/>
      <c r="U1906" s="17"/>
      <c r="V1906" s="17"/>
      <c r="W1906" s="66">
        <v>6.1805555555555558E-2</v>
      </c>
      <c r="X1906" s="7">
        <v>17.55</v>
      </c>
      <c r="Y1906" s="7">
        <v>91.4</v>
      </c>
      <c r="Z1906" s="66">
        <v>6.1805555555555558E-2</v>
      </c>
    </row>
    <row r="1907" spans="2:26" x14ac:dyDescent="0.3">
      <c r="B1907" s="99">
        <f>B1906-50</f>
        <v>14700</v>
      </c>
      <c r="C1907" s="51">
        <v>66.650000000000006</v>
      </c>
      <c r="D1907" s="7">
        <v>58.1</v>
      </c>
      <c r="E1907" s="16"/>
      <c r="F1907" s="7">
        <f t="shared" si="134"/>
        <v>14641.9</v>
      </c>
      <c r="G1907" s="16">
        <f>MIN(AVERAGE(G1908,H1904),G1894)</f>
        <v>122.02500000000001</v>
      </c>
      <c r="H1907" s="7">
        <v>72.5</v>
      </c>
      <c r="I1907" s="7">
        <v>57.1</v>
      </c>
      <c r="J1907" s="7">
        <v>97.1</v>
      </c>
      <c r="K1907" s="7">
        <v>72.849999999999994</v>
      </c>
      <c r="L1907" s="7"/>
      <c r="M1907" s="7">
        <v>76.05</v>
      </c>
      <c r="N1907" s="17"/>
      <c r="P1907" s="17"/>
      <c r="Q1907" s="17"/>
      <c r="R1907" s="17"/>
      <c r="S1907" s="17"/>
      <c r="T1907" s="17"/>
      <c r="U1907" s="17"/>
      <c r="V1907" s="17"/>
      <c r="W1907" s="66">
        <v>8.2638888888888887E-2</v>
      </c>
      <c r="X1907" s="7">
        <v>20.6</v>
      </c>
      <c r="Y1907" s="7">
        <v>69.45</v>
      </c>
      <c r="Z1907" s="66">
        <v>8.2638888888888887E-2</v>
      </c>
    </row>
    <row r="1908" spans="2:26" x14ac:dyDescent="0.3">
      <c r="B1908" s="5">
        <f>B1907-50</f>
        <v>14650</v>
      </c>
      <c r="C1908" s="7">
        <v>51.15</v>
      </c>
      <c r="D1908" s="7">
        <v>44.15</v>
      </c>
      <c r="E1908" s="16"/>
      <c r="F1908" s="7">
        <f t="shared" si="134"/>
        <v>14605.85</v>
      </c>
      <c r="G1908" s="16">
        <f>AVERAGE(H1904:H1907)</f>
        <v>107.83750000000001</v>
      </c>
      <c r="H1908" s="7">
        <v>55.5</v>
      </c>
      <c r="I1908" s="7">
        <v>41.75</v>
      </c>
      <c r="J1908" s="7">
        <v>74.3</v>
      </c>
      <c r="K1908" s="7">
        <v>54.2</v>
      </c>
      <c r="L1908" s="7"/>
      <c r="M1908" s="7">
        <v>55.45</v>
      </c>
      <c r="N1908" s="17"/>
      <c r="P1908" s="98">
        <f>SUM(R1899,R1905)</f>
        <v>963.75000000000068</v>
      </c>
      <c r="Q1908" s="92" t="s">
        <v>72</v>
      </c>
      <c r="R1908" s="17"/>
      <c r="S1908" s="92" t="s">
        <v>73</v>
      </c>
      <c r="T1908" s="7">
        <f>((X1900+Y1900)-(X1908+Y1908))</f>
        <v>10.300000000000011</v>
      </c>
      <c r="U1908" s="7"/>
      <c r="V1908" s="98">
        <f>T1908*M1889</f>
        <v>2317.5000000000027</v>
      </c>
      <c r="W1908" s="66">
        <v>5.2777777777777778E-2</v>
      </c>
      <c r="X1908" s="7">
        <v>20.85</v>
      </c>
      <c r="Y1908" s="23">
        <v>77.150000000000006</v>
      </c>
      <c r="Z1908" s="66">
        <v>0.4368055555555555</v>
      </c>
    </row>
    <row r="1920" spans="2:26" x14ac:dyDescent="0.3">
      <c r="B1920" s="40"/>
      <c r="C1920" s="50">
        <f>AVERAGE(B1921,D1920)</f>
        <v>14907.75</v>
      </c>
      <c r="D1920" s="51">
        <f>B1921+E1921</f>
        <v>14967.75</v>
      </c>
      <c r="E1920" s="50">
        <f>AVERAGE(D1920,F1920)</f>
        <v>15027.75</v>
      </c>
      <c r="F1920" s="50">
        <f>D1920+E1921</f>
        <v>15087.75</v>
      </c>
      <c r="G1920" s="17"/>
      <c r="H1920" s="88" t="str">
        <f>IF((C1929-D1929)&gt;(C1938-D1938),"LONG",IF(C1938&gt;D1936,"LONG","SHORT"))</f>
        <v>SHORT</v>
      </c>
      <c r="I1920" s="104">
        <v>14811</v>
      </c>
      <c r="J1920" s="105" t="s">
        <v>122</v>
      </c>
      <c r="K1920" s="106">
        <v>14879</v>
      </c>
      <c r="L1920" s="17"/>
      <c r="M1920" s="94">
        <f>(182000)/4</f>
        <v>45500</v>
      </c>
      <c r="N1920" s="17"/>
      <c r="P1920" s="16"/>
      <c r="Q1920" s="149" t="s">
        <v>71</v>
      </c>
      <c r="R1920" s="149"/>
      <c r="S1920" s="149" t="s">
        <v>37</v>
      </c>
      <c r="T1920" s="149"/>
      <c r="U1920" s="89"/>
      <c r="V1920" s="17"/>
      <c r="W1920" s="90" t="s">
        <v>68</v>
      </c>
      <c r="X1920" s="91" t="s">
        <v>69</v>
      </c>
      <c r="Y1920" s="92" t="s">
        <v>70</v>
      </c>
      <c r="Z1920" s="90" t="s">
        <v>68</v>
      </c>
    </row>
    <row r="1921" spans="2:26" x14ac:dyDescent="0.3">
      <c r="B1921" s="50">
        <v>14847.75</v>
      </c>
      <c r="C1921" s="40"/>
      <c r="D1921" s="58"/>
      <c r="E1921" s="59">
        <f>ROUND((((B1921*F1921%)/4)/10),0)*10</f>
        <v>120</v>
      </c>
      <c r="F1921" s="51">
        <f>(100/B1921)*(F1930-F1939)</f>
        <v>3.1001330167870504</v>
      </c>
      <c r="G1921" s="17"/>
      <c r="H1921" s="93">
        <v>0.39166666666666666</v>
      </c>
      <c r="I1921" s="93">
        <v>0.39861111111111108</v>
      </c>
      <c r="J1921" s="93">
        <v>0.4055555555555555</v>
      </c>
      <c r="K1921" s="93">
        <v>0.41250000000000003</v>
      </c>
      <c r="L1921" s="17"/>
      <c r="N1921" s="17"/>
      <c r="P1921" s="16"/>
      <c r="Q1921" s="51">
        <f>R1921-(S1921-R1921)</f>
        <v>13635.349999999999</v>
      </c>
      <c r="R1921" s="51">
        <v>14277.8</v>
      </c>
      <c r="S1921" s="51">
        <v>14920.25</v>
      </c>
      <c r="T1921" s="51">
        <f>S1921+(S1921-R1921)</f>
        <v>15562.7</v>
      </c>
      <c r="U1921" s="62"/>
      <c r="V1921" s="17"/>
      <c r="W1921" s="66">
        <v>0.41597222222222219</v>
      </c>
      <c r="X1921" s="7">
        <v>100.45</v>
      </c>
      <c r="Y1921" s="7">
        <v>128.44999999999999</v>
      </c>
      <c r="Z1921" s="66">
        <v>0.41597222222222219</v>
      </c>
    </row>
    <row r="1922" spans="2:26" x14ac:dyDescent="0.3">
      <c r="B1922" s="40"/>
      <c r="C1922" s="50">
        <f>AVERAGE(B1921,D1922)</f>
        <v>14787.75</v>
      </c>
      <c r="D1922" s="51">
        <f>B1921-E1921</f>
        <v>14727.75</v>
      </c>
      <c r="E1922" s="50">
        <f>AVERAGE(D1922,F1922)</f>
        <v>14667.75</v>
      </c>
      <c r="F1922" s="50">
        <f>D1922-E1921</f>
        <v>14607.75</v>
      </c>
      <c r="G1922" s="17"/>
      <c r="H1922" s="51">
        <v>14866.55</v>
      </c>
      <c r="I1922" s="51">
        <v>14851.75</v>
      </c>
      <c r="J1922" s="51">
        <v>14840</v>
      </c>
      <c r="K1922" s="51">
        <v>14835.75</v>
      </c>
      <c r="L1922" s="17"/>
      <c r="M1922" s="94">
        <f>ROUND((M1920/AVERAGE(F1933,F1935))/225,0)*75</f>
        <v>225</v>
      </c>
      <c r="N1922" s="17"/>
      <c r="P1922" s="16"/>
      <c r="Q1922" s="17"/>
      <c r="R1922" s="17"/>
      <c r="S1922" s="17"/>
      <c r="T1922" s="16"/>
      <c r="U1922" s="16"/>
      <c r="V1922" s="17"/>
      <c r="W1922" s="66">
        <v>0.4368055555555555</v>
      </c>
      <c r="X1922" s="7">
        <v>91</v>
      </c>
      <c r="Y1922" s="7">
        <v>135.05000000000001</v>
      </c>
      <c r="Z1922" s="66">
        <v>0.4368055555555555</v>
      </c>
    </row>
    <row r="1923" spans="2:26" x14ac:dyDescent="0.3">
      <c r="B1923" s="17"/>
      <c r="C1923" s="17"/>
      <c r="D1923" s="17"/>
      <c r="E1923" s="17"/>
      <c r="F1923" s="16"/>
      <c r="G1923" s="16"/>
      <c r="H1923" s="17"/>
      <c r="I1923" s="17"/>
      <c r="J1923" s="17"/>
      <c r="K1923" s="16"/>
      <c r="L1923" s="17"/>
      <c r="M1923" s="17"/>
      <c r="N1923" s="17"/>
      <c r="P1923" s="16"/>
      <c r="Q1923" s="17"/>
      <c r="R1923" s="17"/>
      <c r="S1923" s="17"/>
      <c r="T1923" s="17"/>
      <c r="U1923" s="17"/>
      <c r="V1923" s="17"/>
      <c r="W1923" s="66">
        <v>0.45763888888888887</v>
      </c>
      <c r="X1923" s="7">
        <v>78.3</v>
      </c>
      <c r="Y1923" s="7">
        <v>158.65</v>
      </c>
      <c r="Z1923" s="66">
        <v>0.45763888888888887</v>
      </c>
    </row>
    <row r="1924" spans="2:26" x14ac:dyDescent="0.3">
      <c r="B1924" s="16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P1924" s="16"/>
      <c r="Q1924" s="17"/>
      <c r="R1924" s="17"/>
      <c r="S1924" s="17"/>
      <c r="T1924" s="17"/>
      <c r="U1924" s="17"/>
      <c r="V1924" s="17"/>
      <c r="W1924" s="66">
        <v>0.47847222222222219</v>
      </c>
      <c r="X1924" s="7">
        <v>80</v>
      </c>
      <c r="Y1924" s="7">
        <v>152</v>
      </c>
      <c r="Z1924" s="66">
        <v>0.47847222222222219</v>
      </c>
    </row>
    <row r="1925" spans="2:26" x14ac:dyDescent="0.3">
      <c r="B1925" s="17"/>
      <c r="C1925" s="95">
        <v>44287</v>
      </c>
      <c r="D1925" s="17"/>
      <c r="E1925" s="17"/>
      <c r="F1925" s="7">
        <f>AVERAGE(F1927,F1936)</f>
        <v>14825.525000000001</v>
      </c>
      <c r="G1925" s="96"/>
      <c r="H1925" s="66">
        <v>0.41875000000000001</v>
      </c>
      <c r="I1925" s="66">
        <v>0.45416666666666666</v>
      </c>
      <c r="J1925" s="66">
        <v>0.49444444444444446</v>
      </c>
      <c r="K1925" s="66"/>
      <c r="L1925" s="66"/>
      <c r="M1925" s="66">
        <v>0.13541666666666666</v>
      </c>
      <c r="N1925" s="17"/>
      <c r="P1925" s="16"/>
      <c r="Q1925" s="17"/>
      <c r="R1925" s="17"/>
      <c r="S1925" s="17"/>
      <c r="T1925" s="17"/>
      <c r="U1925" s="17"/>
      <c r="V1925" s="17"/>
      <c r="W1925" s="66">
        <v>0.4993055555555555</v>
      </c>
      <c r="X1925" s="7">
        <v>84.5</v>
      </c>
      <c r="Y1925" s="7">
        <v>141.6</v>
      </c>
      <c r="Z1925" s="66">
        <v>0.4993055555555555</v>
      </c>
    </row>
    <row r="1926" spans="2:26" x14ac:dyDescent="0.3">
      <c r="B1926" s="90" t="s">
        <v>68</v>
      </c>
      <c r="C1926" s="66">
        <v>0.41666666666666669</v>
      </c>
      <c r="D1926" s="66">
        <v>0.40347222222222223</v>
      </c>
      <c r="E1926" s="17"/>
      <c r="F1926" s="17"/>
      <c r="G1926" s="17"/>
      <c r="H1926" s="7">
        <v>14845.35</v>
      </c>
      <c r="I1926" s="7">
        <v>14786.7</v>
      </c>
      <c r="J1926" s="7">
        <v>14822.4</v>
      </c>
      <c r="K1926" s="7"/>
      <c r="L1926" s="7"/>
      <c r="M1926" s="7">
        <v>14967.05</v>
      </c>
      <c r="N1926" s="17"/>
      <c r="P1926" s="17"/>
      <c r="Q1926" s="145" t="s">
        <v>72</v>
      </c>
      <c r="R1926" s="145"/>
      <c r="S1926" s="145"/>
      <c r="T1926" s="145"/>
      <c r="U1926" s="83"/>
      <c r="V1926" s="17"/>
      <c r="W1926" s="66">
        <v>0.52013888888888882</v>
      </c>
      <c r="X1926" s="7">
        <v>84.95</v>
      </c>
      <c r="Y1926" s="7">
        <v>133.69999999999999</v>
      </c>
      <c r="Z1926" s="66">
        <v>0.52013888888888882</v>
      </c>
    </row>
    <row r="1927" spans="2:26" x14ac:dyDescent="0.3">
      <c r="B1927" s="5">
        <f>B1928-50</f>
        <v>14850</v>
      </c>
      <c r="C1927" s="7">
        <v>124.45</v>
      </c>
      <c r="D1927" s="7">
        <v>115.6</v>
      </c>
      <c r="E1927" s="16"/>
      <c r="F1927" s="7">
        <f t="shared" ref="F1927:F1932" si="135">B1927+D1927</f>
        <v>14965.6</v>
      </c>
      <c r="G1927" s="16">
        <f>AVERAGE(H1938,H1928)</f>
        <v>114.7</v>
      </c>
      <c r="H1927" s="7">
        <v>123.95</v>
      </c>
      <c r="I1927" s="7">
        <v>96.8</v>
      </c>
      <c r="J1927" s="7">
        <v>105.8</v>
      </c>
      <c r="K1927" s="7"/>
      <c r="L1927" s="7"/>
      <c r="M1927" s="7">
        <v>166</v>
      </c>
      <c r="N1927" s="17"/>
      <c r="P1927" s="17"/>
      <c r="Q1927" s="34"/>
      <c r="R1927" s="34" t="s">
        <v>111</v>
      </c>
      <c r="S1927" s="34" t="s">
        <v>2</v>
      </c>
      <c r="T1927" s="34" t="s">
        <v>1</v>
      </c>
      <c r="U1927" s="84"/>
      <c r="V1927" s="17"/>
      <c r="W1927" s="66">
        <v>0.54097222222222219</v>
      </c>
      <c r="X1927" s="7">
        <v>89</v>
      </c>
      <c r="Y1927" s="7">
        <v>122.5</v>
      </c>
      <c r="Z1927" s="66">
        <v>0.54097222222222219</v>
      </c>
    </row>
    <row r="1928" spans="2:26" x14ac:dyDescent="0.3">
      <c r="B1928" s="5">
        <f>B1929-50</f>
        <v>14900</v>
      </c>
      <c r="C1928" s="7">
        <v>100.45</v>
      </c>
      <c r="D1928" s="7">
        <v>93.75</v>
      </c>
      <c r="E1928" s="16"/>
      <c r="F1928" s="7">
        <f t="shared" si="135"/>
        <v>14993.75</v>
      </c>
      <c r="G1928" s="16"/>
      <c r="H1928" s="7">
        <v>100.6</v>
      </c>
      <c r="I1928" s="7">
        <v>76.95</v>
      </c>
      <c r="J1928" s="7">
        <v>84.65</v>
      </c>
      <c r="K1928" s="7"/>
      <c r="L1928" s="7"/>
      <c r="M1928" s="7">
        <v>138.35</v>
      </c>
      <c r="N1928" s="17"/>
      <c r="P1928" s="17"/>
      <c r="Q1928" s="7">
        <f>(T1928-S1928)*R1928</f>
        <v>0</v>
      </c>
      <c r="R1928" s="109"/>
      <c r="S1928" s="7"/>
      <c r="T1928" s="7"/>
      <c r="U1928" s="70"/>
      <c r="V1928" s="17"/>
      <c r="W1928" s="66">
        <v>6.1805555555555558E-2</v>
      </c>
      <c r="X1928" s="7">
        <v>127.65</v>
      </c>
      <c r="Y1928" s="7">
        <v>97.95</v>
      </c>
      <c r="Z1928" s="66">
        <v>6.1805555555555558E-2</v>
      </c>
    </row>
    <row r="1929" spans="2:26" x14ac:dyDescent="0.3">
      <c r="B1929" s="97">
        <v>14950</v>
      </c>
      <c r="C1929" s="7">
        <v>81</v>
      </c>
      <c r="D1929" s="7">
        <v>74.349999999999994</v>
      </c>
      <c r="E1929" s="16"/>
      <c r="F1929" s="7">
        <f t="shared" si="135"/>
        <v>15024.35</v>
      </c>
      <c r="G1929" s="17"/>
      <c r="H1929" s="7">
        <v>80.75</v>
      </c>
      <c r="I1929" s="7">
        <v>61.1</v>
      </c>
      <c r="J1929" s="7">
        <v>67.45</v>
      </c>
      <c r="K1929" s="7"/>
      <c r="L1929" s="7"/>
      <c r="M1929" s="7">
        <v>112.45</v>
      </c>
      <c r="N1929" s="17"/>
      <c r="P1929" s="17"/>
      <c r="Q1929" s="7">
        <f t="shared" ref="Q1929:Q1931" si="136">(T1929-S1929)*R1929</f>
        <v>0</v>
      </c>
      <c r="R1929" s="109"/>
      <c r="S1929" s="7"/>
      <c r="T1929" s="7"/>
      <c r="U1929" s="70"/>
      <c r="V1929" s="17"/>
      <c r="W1929" s="66">
        <v>8.2638888888888887E-2</v>
      </c>
      <c r="X1929" s="7">
        <v>120.15</v>
      </c>
      <c r="Y1929" s="7">
        <v>101</v>
      </c>
      <c r="Z1929" s="66">
        <v>8.2638888888888887E-2</v>
      </c>
    </row>
    <row r="1930" spans="2:26" x14ac:dyDescent="0.3">
      <c r="B1930" s="5">
        <f>B1929+50</f>
        <v>15000</v>
      </c>
      <c r="C1930" s="7">
        <v>63.65</v>
      </c>
      <c r="D1930" s="23">
        <v>58.05</v>
      </c>
      <c r="E1930" s="16"/>
      <c r="F1930" s="98">
        <f t="shared" si="135"/>
        <v>15058.05</v>
      </c>
      <c r="G1930" s="17"/>
      <c r="H1930" s="7">
        <v>63.3</v>
      </c>
      <c r="I1930" s="7">
        <v>46.8</v>
      </c>
      <c r="J1930" s="7">
        <v>52</v>
      </c>
      <c r="K1930" s="7"/>
      <c r="L1930" s="7"/>
      <c r="M1930" s="7">
        <v>90.35</v>
      </c>
      <c r="N1930" s="17"/>
      <c r="P1930" s="17"/>
      <c r="Q1930" s="7">
        <f t="shared" si="136"/>
        <v>0</v>
      </c>
      <c r="R1930" s="109"/>
      <c r="S1930" s="18"/>
      <c r="T1930" s="18"/>
      <c r="U1930" s="101"/>
      <c r="V1930" s="17"/>
      <c r="W1930" s="17"/>
      <c r="X1930" s="17"/>
      <c r="Y1930" s="17"/>
      <c r="Z1930" s="17"/>
    </row>
    <row r="1931" spans="2:26" x14ac:dyDescent="0.3">
      <c r="B1931" s="99">
        <f>B1930+50</f>
        <v>15050</v>
      </c>
      <c r="C1931" s="51">
        <v>48.95</v>
      </c>
      <c r="D1931" s="7">
        <v>44.7</v>
      </c>
      <c r="E1931" s="16"/>
      <c r="F1931" s="7">
        <f t="shared" si="135"/>
        <v>15094.7</v>
      </c>
      <c r="G1931" s="17"/>
      <c r="H1931" s="7">
        <v>48.55</v>
      </c>
      <c r="I1931" s="7">
        <v>34.950000000000003</v>
      </c>
      <c r="J1931" s="7">
        <v>39.700000000000003</v>
      </c>
      <c r="K1931" s="7"/>
      <c r="L1931" s="7"/>
      <c r="M1931" s="7">
        <v>69.900000000000006</v>
      </c>
      <c r="N1931" s="17"/>
      <c r="P1931" s="17"/>
      <c r="Q1931" s="7">
        <f t="shared" si="136"/>
        <v>0</v>
      </c>
      <c r="R1931" s="109"/>
      <c r="S1931" s="18"/>
      <c r="T1931" s="18"/>
      <c r="U1931" s="101"/>
      <c r="V1931" s="17"/>
      <c r="W1931" s="90" t="s">
        <v>68</v>
      </c>
      <c r="X1931" s="91" t="s">
        <v>69</v>
      </c>
      <c r="Y1931" s="92" t="s">
        <v>70</v>
      </c>
      <c r="Z1931" s="90" t="s">
        <v>68</v>
      </c>
    </row>
    <row r="1932" spans="2:26" x14ac:dyDescent="0.3">
      <c r="B1932" s="5">
        <f>B1931+50</f>
        <v>15100</v>
      </c>
      <c r="C1932" s="7">
        <v>37.299999999999997</v>
      </c>
      <c r="D1932" s="7">
        <v>34.299999999999997</v>
      </c>
      <c r="E1932" s="16"/>
      <c r="F1932" s="7">
        <f t="shared" si="135"/>
        <v>15134.3</v>
      </c>
      <c r="G1932" s="16"/>
      <c r="H1932" s="7">
        <v>37.450000000000003</v>
      </c>
      <c r="I1932" s="7">
        <v>26.45</v>
      </c>
      <c r="J1932" s="7">
        <v>29.55</v>
      </c>
      <c r="K1932" s="7"/>
      <c r="L1932" s="7"/>
      <c r="M1932" s="7">
        <v>53.45</v>
      </c>
      <c r="N1932" s="17"/>
      <c r="P1932" s="17"/>
      <c r="Q1932" s="5" t="s">
        <v>112</v>
      </c>
      <c r="R1932" s="7">
        <f>SUM(Q1928:Q1931)</f>
        <v>0</v>
      </c>
      <c r="S1932" s="5">
        <f>SUM(S1928:S1931)</f>
        <v>0</v>
      </c>
      <c r="T1932" s="5" t="e">
        <f>(R1932/S1932)*2</f>
        <v>#DIV/0!</v>
      </c>
      <c r="U1932" s="100"/>
      <c r="V1932" s="17"/>
      <c r="W1932" s="66">
        <v>0.41597222222222219</v>
      </c>
      <c r="X1932" s="7">
        <v>48.95</v>
      </c>
      <c r="Y1932" s="7">
        <v>76.150000000000006</v>
      </c>
      <c r="Z1932" s="66">
        <v>0.41597222222222219</v>
      </c>
    </row>
    <row r="1933" spans="2:26" x14ac:dyDescent="0.3">
      <c r="B1933" s="17"/>
      <c r="C1933" s="17"/>
      <c r="D1933" s="16"/>
      <c r="E1933" s="16">
        <f>F1933-(G1933-F1933)</f>
        <v>53.400000000000006</v>
      </c>
      <c r="F1933" s="16">
        <f>AVERAGE(C1930,C1941)</f>
        <v>69.900000000000006</v>
      </c>
      <c r="G1933" s="16">
        <f>AVERAGE(C1929,C1940)</f>
        <v>86.4</v>
      </c>
      <c r="H1933" s="101"/>
      <c r="I1933" s="101"/>
      <c r="J1933" s="101"/>
      <c r="K1933" s="101"/>
      <c r="L1933" s="101"/>
      <c r="M1933" s="101"/>
      <c r="N1933" s="17"/>
      <c r="P1933" s="17"/>
      <c r="Q1933" s="17"/>
      <c r="R1933" s="17"/>
      <c r="S1933" s="17"/>
      <c r="T1933" s="17"/>
      <c r="U1933" s="17"/>
      <c r="V1933" s="16"/>
      <c r="W1933" s="66">
        <v>0.4368055555555555</v>
      </c>
      <c r="X1933" s="7">
        <v>42.55</v>
      </c>
      <c r="Y1933" s="7">
        <v>81.099999999999994</v>
      </c>
      <c r="Z1933" s="66">
        <v>0.4368055555555555</v>
      </c>
    </row>
    <row r="1934" spans="2:26" x14ac:dyDescent="0.3">
      <c r="B1934" s="17"/>
      <c r="C1934" s="95">
        <v>44294</v>
      </c>
      <c r="D1934" s="17"/>
      <c r="F1934" s="16"/>
      <c r="H1934" s="66">
        <v>0.41875000000000001</v>
      </c>
      <c r="I1934" s="66">
        <v>0.45416666666666666</v>
      </c>
      <c r="J1934" s="66">
        <v>0.49444444444444446</v>
      </c>
      <c r="K1934" s="66"/>
      <c r="L1934" s="66"/>
      <c r="M1934" s="66">
        <v>0.13541666666666666</v>
      </c>
      <c r="P1934" s="17"/>
      <c r="Q1934" s="7">
        <f>(T1934-S1934)*R1934</f>
        <v>1327.4999999999991</v>
      </c>
      <c r="R1934" s="109">
        <v>75</v>
      </c>
      <c r="S1934" s="7">
        <v>76.900000000000006</v>
      </c>
      <c r="T1934" s="7">
        <v>94.6</v>
      </c>
      <c r="U1934" s="70"/>
      <c r="V1934" s="17"/>
      <c r="W1934" s="66">
        <v>0.45763888888888887</v>
      </c>
      <c r="X1934" s="7">
        <v>36.5</v>
      </c>
      <c r="Y1934" s="7">
        <v>98.5</v>
      </c>
      <c r="Z1934" s="66">
        <v>0.45763888888888887</v>
      </c>
    </row>
    <row r="1935" spans="2:26" x14ac:dyDescent="0.3">
      <c r="B1935" s="90" t="s">
        <v>68</v>
      </c>
      <c r="C1935" s="66">
        <v>0.41666666666666669</v>
      </c>
      <c r="D1935" s="66">
        <v>0.38819444444444445</v>
      </c>
      <c r="E1935" s="16">
        <f>F1935-(G1935-F1935)</f>
        <v>60.849999999999994</v>
      </c>
      <c r="F1935" s="16">
        <f>AVERAGE(C1940,C1930)</f>
        <v>77.724999999999994</v>
      </c>
      <c r="G1935" s="16">
        <f>AVERAGE(C1939,C1929)</f>
        <v>94.6</v>
      </c>
      <c r="H1935" s="23">
        <v>77.7</v>
      </c>
      <c r="I1935" s="23">
        <v>94.6</v>
      </c>
      <c r="J1935" s="23">
        <v>82.4</v>
      </c>
      <c r="K1935" s="7"/>
      <c r="L1935" s="7"/>
      <c r="M1935" s="7">
        <v>14967.05</v>
      </c>
      <c r="P1935" s="17"/>
      <c r="Q1935" s="7">
        <f t="shared" ref="Q1935:Q1937" si="137">(T1935-S1935)*R1935</f>
        <v>-502.50000000000023</v>
      </c>
      <c r="R1935" s="109">
        <v>75</v>
      </c>
      <c r="S1935" s="7">
        <v>76.900000000000006</v>
      </c>
      <c r="T1935" s="7">
        <v>70.2</v>
      </c>
      <c r="U1935" s="70"/>
      <c r="V1935" s="17"/>
      <c r="W1935" s="66">
        <v>0.47847222222222219</v>
      </c>
      <c r="X1935" s="7">
        <v>36.9</v>
      </c>
      <c r="Y1935" s="7">
        <v>92.6</v>
      </c>
      <c r="Z1935" s="66">
        <v>0.47847222222222219</v>
      </c>
    </row>
    <row r="1936" spans="2:26" x14ac:dyDescent="0.3">
      <c r="B1936" s="5">
        <f>B1937+50</f>
        <v>14850</v>
      </c>
      <c r="C1936" s="7">
        <v>174.1</v>
      </c>
      <c r="D1936" s="7">
        <v>164.55</v>
      </c>
      <c r="E1936" s="16"/>
      <c r="F1936" s="7">
        <f t="shared" ref="F1936:F1941" si="138">B1936-D1936</f>
        <v>14685.45</v>
      </c>
      <c r="G1936" s="16"/>
      <c r="H1936" s="7">
        <v>173.8</v>
      </c>
      <c r="I1936" s="7">
        <v>207.15</v>
      </c>
      <c r="J1936" s="7">
        <v>189.85</v>
      </c>
      <c r="K1936" s="7"/>
      <c r="L1936" s="7"/>
      <c r="M1936" s="7">
        <v>107.3</v>
      </c>
      <c r="N1936" s="17"/>
      <c r="P1936" s="17"/>
      <c r="Q1936" s="7">
        <f t="shared" si="137"/>
        <v>0</v>
      </c>
      <c r="R1936" s="109"/>
      <c r="S1936" s="18"/>
      <c r="T1936" s="18"/>
      <c r="U1936" s="101"/>
      <c r="V1936" s="16"/>
      <c r="W1936" s="66">
        <v>0.4993055555555555</v>
      </c>
      <c r="X1936" s="7">
        <v>39.450000000000003</v>
      </c>
      <c r="Y1936" s="7">
        <v>85.5</v>
      </c>
      <c r="Z1936" s="66">
        <v>0.4993055555555555</v>
      </c>
    </row>
    <row r="1937" spans="2:26" x14ac:dyDescent="0.3">
      <c r="B1937" s="5">
        <f>B1938+50</f>
        <v>14800</v>
      </c>
      <c r="C1937" s="7">
        <v>149.75</v>
      </c>
      <c r="D1937" s="7">
        <v>141.1</v>
      </c>
      <c r="E1937" s="16"/>
      <c r="F1937" s="7">
        <f t="shared" si="138"/>
        <v>14658.9</v>
      </c>
      <c r="G1937" s="17"/>
      <c r="H1937" s="7">
        <v>150</v>
      </c>
      <c r="I1937" s="7">
        <v>180.15</v>
      </c>
      <c r="J1937" s="7">
        <v>155.75</v>
      </c>
      <c r="K1937" s="7"/>
      <c r="L1937" s="7"/>
      <c r="M1937" s="7">
        <v>89.05</v>
      </c>
      <c r="N1937" s="17"/>
      <c r="P1937" s="17"/>
      <c r="Q1937" s="7">
        <f t="shared" si="137"/>
        <v>0</v>
      </c>
      <c r="R1937" s="109"/>
      <c r="S1937" s="18"/>
      <c r="T1937" s="18"/>
      <c r="U1937" s="101"/>
      <c r="V1937" s="16"/>
      <c r="W1937" s="66">
        <v>0.52013888888888882</v>
      </c>
      <c r="X1937" s="7">
        <v>38.799999999999997</v>
      </c>
      <c r="Y1937" s="7">
        <v>79.95</v>
      </c>
      <c r="Z1937" s="66">
        <v>0.52013888888888882</v>
      </c>
    </row>
    <row r="1938" spans="2:26" x14ac:dyDescent="0.3">
      <c r="B1938" s="97">
        <v>14750</v>
      </c>
      <c r="C1938" s="7">
        <v>128.44999999999999</v>
      </c>
      <c r="D1938" s="7">
        <v>121.6</v>
      </c>
      <c r="E1938" s="16"/>
      <c r="F1938" s="7">
        <f t="shared" si="138"/>
        <v>14628.4</v>
      </c>
      <c r="G1938" s="17"/>
      <c r="H1938" s="7">
        <v>128.80000000000001</v>
      </c>
      <c r="I1938" s="7">
        <v>155.5</v>
      </c>
      <c r="J1938" s="7">
        <v>133.80000000000001</v>
      </c>
      <c r="K1938" s="7"/>
      <c r="L1938" s="7"/>
      <c r="M1938" s="7">
        <v>73</v>
      </c>
      <c r="N1938" s="17"/>
      <c r="P1938" s="17"/>
      <c r="Q1938" s="5" t="s">
        <v>112</v>
      </c>
      <c r="R1938" s="7">
        <f>SUM(Q1934:Q1937)</f>
        <v>824.99999999999886</v>
      </c>
      <c r="S1938" s="5">
        <f>SUM(S1934:S1937)</f>
        <v>153.80000000000001</v>
      </c>
      <c r="T1938" s="5">
        <f>(R1938/S1938)*2</f>
        <v>10.728218465539646</v>
      </c>
      <c r="U1938" s="100"/>
      <c r="V1938" s="17"/>
      <c r="W1938" s="66">
        <v>0.54097222222222219</v>
      </c>
      <c r="X1938" s="7">
        <v>41.25</v>
      </c>
      <c r="Y1938" s="7">
        <v>73.349999999999994</v>
      </c>
      <c r="Z1938" s="66">
        <v>0.54097222222222219</v>
      </c>
    </row>
    <row r="1939" spans="2:26" x14ac:dyDescent="0.3">
      <c r="B1939" s="14">
        <f>B1938-50</f>
        <v>14700</v>
      </c>
      <c r="C1939" s="7">
        <v>108.2</v>
      </c>
      <c r="D1939" s="23">
        <v>102.25</v>
      </c>
      <c r="E1939" s="16"/>
      <c r="F1939" s="98">
        <f t="shared" si="138"/>
        <v>14597.75</v>
      </c>
      <c r="G1939" s="17"/>
      <c r="H1939" s="7">
        <v>109</v>
      </c>
      <c r="I1939" s="7">
        <v>133.35</v>
      </c>
      <c r="J1939" s="7">
        <v>112.95</v>
      </c>
      <c r="K1939" s="7"/>
      <c r="L1939" s="7"/>
      <c r="M1939" s="7">
        <v>59.55</v>
      </c>
      <c r="N1939" s="17"/>
      <c r="P1939" s="17"/>
      <c r="Q1939" s="17"/>
      <c r="R1939" s="17"/>
      <c r="S1939" s="17"/>
      <c r="T1939" s="17"/>
      <c r="U1939" s="17"/>
      <c r="V1939" s="17"/>
      <c r="W1939" s="66">
        <v>6.1805555555555558E-2</v>
      </c>
      <c r="X1939" s="7">
        <v>65.05</v>
      </c>
      <c r="Y1939" s="7">
        <v>56.65</v>
      </c>
      <c r="Z1939" s="66">
        <v>6.1805555555555558E-2</v>
      </c>
    </row>
    <row r="1940" spans="2:26" x14ac:dyDescent="0.3">
      <c r="B1940" s="99">
        <f>B1939-50</f>
        <v>14650</v>
      </c>
      <c r="C1940" s="7">
        <v>91.8</v>
      </c>
      <c r="D1940" s="7">
        <v>87.55</v>
      </c>
      <c r="E1940" s="16"/>
      <c r="F1940" s="7">
        <f t="shared" si="138"/>
        <v>14562.45</v>
      </c>
      <c r="G1940" s="16">
        <f>MIN(AVERAGE(H1938,G1941),G1927)</f>
        <v>114.7</v>
      </c>
      <c r="H1940" s="7">
        <v>91.45</v>
      </c>
      <c r="I1940" s="7">
        <v>113.6</v>
      </c>
      <c r="J1940" s="7">
        <v>95.95</v>
      </c>
      <c r="K1940" s="7"/>
      <c r="L1940" s="7"/>
      <c r="M1940" s="7">
        <v>48.35</v>
      </c>
      <c r="N1940" s="17"/>
      <c r="P1940" s="17"/>
      <c r="Q1940" s="17"/>
      <c r="R1940" s="17"/>
      <c r="S1940" s="17"/>
      <c r="T1940" s="17"/>
      <c r="U1940" s="17"/>
      <c r="V1940" s="17"/>
      <c r="W1940" s="66">
        <v>8.2638888888888887E-2</v>
      </c>
      <c r="X1940" s="7">
        <v>101</v>
      </c>
      <c r="Y1940" s="7">
        <v>56.9</v>
      </c>
      <c r="Z1940" s="66">
        <v>8.2638888888888887E-2</v>
      </c>
    </row>
    <row r="1941" spans="2:26" x14ac:dyDescent="0.3">
      <c r="B1941" s="5">
        <f>B1940-50</f>
        <v>14600</v>
      </c>
      <c r="C1941" s="51">
        <v>76.150000000000006</v>
      </c>
      <c r="D1941" s="7">
        <v>73.650000000000006</v>
      </c>
      <c r="E1941" s="16"/>
      <c r="F1941" s="7">
        <f t="shared" si="138"/>
        <v>14526.35</v>
      </c>
      <c r="G1941" s="16">
        <f>AVERAGE(H1938:H1941)</f>
        <v>101.53749999999999</v>
      </c>
      <c r="H1941" s="7">
        <v>76.900000000000006</v>
      </c>
      <c r="I1941" s="7">
        <v>95.85</v>
      </c>
      <c r="J1941" s="7">
        <v>80.3</v>
      </c>
      <c r="K1941" s="7"/>
      <c r="L1941" s="7"/>
      <c r="M1941" s="7">
        <v>39.200000000000003</v>
      </c>
      <c r="N1941" s="17"/>
      <c r="P1941" s="98">
        <f>SUM(R1932,R1938)</f>
        <v>824.99999999999886</v>
      </c>
      <c r="Q1941" s="92" t="s">
        <v>72</v>
      </c>
      <c r="R1941" s="17"/>
      <c r="S1941" s="92" t="s">
        <v>73</v>
      </c>
      <c r="T1941" s="7">
        <f>((X1933+Y1933)-(X1941+Y1941))</f>
        <v>-6.4000000000000199</v>
      </c>
      <c r="U1941" s="7"/>
      <c r="V1941" s="98">
        <f>T1941*M1922</f>
        <v>-1440.0000000000045</v>
      </c>
      <c r="W1941" s="66">
        <v>5.2083333333333336E-2</v>
      </c>
      <c r="X1941" s="7">
        <v>48.95</v>
      </c>
      <c r="Y1941" s="23">
        <v>81.099999999999994</v>
      </c>
      <c r="Z1941" s="66">
        <v>0.4368055555555555</v>
      </c>
    </row>
    <row r="1942" spans="2:26" x14ac:dyDescent="0.3">
      <c r="H1942" s="40">
        <f>H1941-(H1940-H1941)</f>
        <v>62.350000000000009</v>
      </c>
      <c r="I1942" s="40">
        <f>I1941-(I1940-I1941)</f>
        <v>78.099999999999994</v>
      </c>
    </row>
    <row r="1953" spans="2:26" x14ac:dyDescent="0.3">
      <c r="B1953" s="40"/>
      <c r="C1953" s="50">
        <f>AVERAGE(B1954,D1953)</f>
        <v>14762.1</v>
      </c>
      <c r="D1953" s="51">
        <f>B1954+E1954</f>
        <v>14812.1</v>
      </c>
      <c r="E1953" s="50">
        <f>AVERAGE(D1953,F1953)</f>
        <v>14862.1</v>
      </c>
      <c r="F1953" s="50">
        <f>D1953+E1954</f>
        <v>14912.1</v>
      </c>
      <c r="G1953" s="17"/>
      <c r="H1953" s="88" t="str">
        <f>IF((C1962-D1962)&gt;(C1971-D1971),"LONG",IF(C1971&gt;D1969,"LONG","SHORT"))</f>
        <v>LONG</v>
      </c>
      <c r="I1953" s="104">
        <v>14682</v>
      </c>
      <c r="J1953" s="105" t="s">
        <v>122</v>
      </c>
      <c r="K1953" s="106">
        <v>14899</v>
      </c>
      <c r="L1953" s="17"/>
      <c r="M1953" s="94">
        <f>(138000)/4</f>
        <v>34500</v>
      </c>
      <c r="N1953" s="17"/>
      <c r="P1953" s="16"/>
      <c r="Q1953" s="149" t="s">
        <v>71</v>
      </c>
      <c r="R1953" s="149"/>
      <c r="S1953" s="149" t="s">
        <v>37</v>
      </c>
      <c r="T1953" s="149"/>
      <c r="U1953" s="89"/>
      <c r="V1953" s="17"/>
      <c r="W1953" s="90" t="s">
        <v>68</v>
      </c>
      <c r="X1953" s="91" t="s">
        <v>69</v>
      </c>
      <c r="Y1953" s="92" t="s">
        <v>70</v>
      </c>
      <c r="Z1953" s="90" t="s">
        <v>68</v>
      </c>
    </row>
    <row r="1954" spans="2:26" x14ac:dyDescent="0.3">
      <c r="B1954" s="50">
        <v>14712.1</v>
      </c>
      <c r="C1954" s="40"/>
      <c r="D1954" s="58"/>
      <c r="E1954" s="59">
        <f>ROUND((((B1954*F1954%)/4)/10),0)*10</f>
        <v>100</v>
      </c>
      <c r="F1954" s="51">
        <f>(100/B1954)*(F1963-F1972)</f>
        <v>2.6505393519619829</v>
      </c>
      <c r="G1954" s="17"/>
      <c r="H1954" s="93">
        <v>0.39166666666666666</v>
      </c>
      <c r="I1954" s="93">
        <v>0.39861111111111108</v>
      </c>
      <c r="J1954" s="93">
        <v>0.4055555555555555</v>
      </c>
      <c r="K1954" s="93">
        <v>0.41250000000000003</v>
      </c>
      <c r="L1954" s="17"/>
      <c r="N1954" s="17"/>
      <c r="P1954" s="16"/>
      <c r="Q1954" s="51">
        <f>R1954-(S1954-R1954)</f>
        <v>14512.25</v>
      </c>
      <c r="R1954" s="51">
        <v>14740</v>
      </c>
      <c r="S1954" s="51">
        <v>14967.75</v>
      </c>
      <c r="T1954" s="51">
        <f>S1954+(S1954-R1954)</f>
        <v>15195.5</v>
      </c>
      <c r="U1954" s="62"/>
      <c r="V1954" s="17"/>
      <c r="W1954" s="66">
        <v>0.41597222222222219</v>
      </c>
      <c r="X1954" s="7">
        <v>127.45</v>
      </c>
      <c r="Y1954" s="7">
        <v>158.55000000000001</v>
      </c>
      <c r="Z1954" s="66">
        <v>0.41597222222222219</v>
      </c>
    </row>
    <row r="1955" spans="2:26" x14ac:dyDescent="0.3">
      <c r="B1955" s="40"/>
      <c r="C1955" s="50">
        <f>AVERAGE(B1954,D1955)</f>
        <v>14662.1</v>
      </c>
      <c r="D1955" s="51">
        <f>B1954-E1954</f>
        <v>14612.1</v>
      </c>
      <c r="E1955" s="50">
        <f>AVERAGE(D1955,F1955)</f>
        <v>14562.1</v>
      </c>
      <c r="F1955" s="50">
        <f>D1955-E1954</f>
        <v>14512.1</v>
      </c>
      <c r="G1955" s="17"/>
      <c r="H1955" s="51">
        <v>14836</v>
      </c>
      <c r="I1955" s="51">
        <v>14820</v>
      </c>
      <c r="J1955" s="51">
        <v>14834.9</v>
      </c>
      <c r="K1955" s="51">
        <v>14800</v>
      </c>
      <c r="L1955" s="17"/>
      <c r="M1955" s="94">
        <f>ROUND((M1953/AVERAGE(F1966,F1968))/225,0)*75</f>
        <v>150</v>
      </c>
      <c r="N1955" s="17"/>
      <c r="P1955" s="16"/>
      <c r="Q1955" s="17"/>
      <c r="R1955" s="17"/>
      <c r="S1955" s="17"/>
      <c r="T1955" s="16"/>
      <c r="U1955" s="16"/>
      <c r="V1955" s="17"/>
      <c r="W1955" s="66">
        <v>0.4368055555555555</v>
      </c>
      <c r="X1955" s="7">
        <v>94.6</v>
      </c>
      <c r="Y1955" s="7">
        <v>240.15</v>
      </c>
      <c r="Z1955" s="66">
        <v>0.4368055555555555</v>
      </c>
    </row>
    <row r="1956" spans="2:26" x14ac:dyDescent="0.3">
      <c r="B1956" s="17"/>
      <c r="C1956" s="17"/>
      <c r="D1956" s="17"/>
      <c r="E1956" s="17"/>
      <c r="F1956" s="16"/>
      <c r="G1956" s="16"/>
      <c r="H1956" s="17"/>
      <c r="I1956" s="17"/>
      <c r="J1956" s="17"/>
      <c r="K1956" s="16"/>
      <c r="L1956" s="17"/>
      <c r="M1956" s="17"/>
      <c r="N1956" s="17"/>
      <c r="P1956" s="16"/>
      <c r="Q1956" s="17"/>
      <c r="R1956" s="17"/>
      <c r="S1956" s="17"/>
      <c r="T1956" s="17"/>
      <c r="U1956" s="17"/>
      <c r="V1956" s="17"/>
      <c r="W1956" s="66">
        <v>0.45763888888888887</v>
      </c>
      <c r="X1956" s="7">
        <v>87.35</v>
      </c>
      <c r="Y1956" s="7">
        <v>249.05</v>
      </c>
      <c r="Z1956" s="66">
        <v>0.45763888888888887</v>
      </c>
    </row>
    <row r="1957" spans="2:26" x14ac:dyDescent="0.3">
      <c r="B1957" s="16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P1957" s="16"/>
      <c r="Q1957" s="17"/>
      <c r="R1957" s="17"/>
      <c r="S1957" s="17"/>
      <c r="T1957" s="17"/>
      <c r="U1957" s="17"/>
      <c r="V1957" s="17"/>
      <c r="W1957" s="66">
        <v>0.47847222222222219</v>
      </c>
      <c r="X1957" s="7">
        <v>74.900000000000006</v>
      </c>
      <c r="Y1957" s="7">
        <v>282.5</v>
      </c>
      <c r="Z1957" s="66">
        <v>0.47847222222222219</v>
      </c>
    </row>
    <row r="1958" spans="2:26" x14ac:dyDescent="0.3">
      <c r="B1958" s="17"/>
      <c r="C1958" s="95">
        <v>44291</v>
      </c>
      <c r="D1958" s="17"/>
      <c r="E1958" s="17"/>
      <c r="F1958" s="7">
        <f>AVERAGE(F1960,F1969)</f>
        <v>14726.975</v>
      </c>
      <c r="G1958" s="96"/>
      <c r="H1958" s="66">
        <v>0.41666666666666669</v>
      </c>
      <c r="I1958" s="66">
        <v>0.41805555555555557</v>
      </c>
      <c r="J1958" s="66">
        <v>0.4368055555555555</v>
      </c>
      <c r="K1958" s="66">
        <v>0.46597222222222223</v>
      </c>
      <c r="L1958" s="66"/>
      <c r="M1958" s="66">
        <v>0.13541666666666666</v>
      </c>
      <c r="N1958" s="17"/>
      <c r="P1958" s="16"/>
      <c r="Q1958" s="17"/>
      <c r="R1958" s="17"/>
      <c r="S1958" s="17"/>
      <c r="T1958" s="17"/>
      <c r="U1958" s="17"/>
      <c r="V1958" s="17"/>
      <c r="W1958" s="66">
        <v>0.4993055555555555</v>
      </c>
      <c r="X1958" s="7">
        <v>77.45</v>
      </c>
      <c r="Y1958" s="7">
        <v>260.2</v>
      </c>
      <c r="Z1958" s="66">
        <v>0.4993055555555555</v>
      </c>
    </row>
    <row r="1959" spans="2:26" x14ac:dyDescent="0.3">
      <c r="B1959" s="90" t="s">
        <v>68</v>
      </c>
      <c r="C1959" s="66">
        <v>0.41666666666666669</v>
      </c>
      <c r="D1959" s="66">
        <v>0.3888888888888889</v>
      </c>
      <c r="E1959" s="17"/>
      <c r="F1959" s="17"/>
      <c r="G1959" s="17"/>
      <c r="H1959" s="7">
        <v>14685.9</v>
      </c>
      <c r="I1959" s="7">
        <v>14634</v>
      </c>
      <c r="J1959" s="7">
        <v>14596.4</v>
      </c>
      <c r="K1959" s="23">
        <v>39.200000000000003</v>
      </c>
      <c r="L1959" s="7"/>
      <c r="M1959" s="7">
        <v>14695.95</v>
      </c>
      <c r="N1959" s="17"/>
      <c r="P1959" s="16"/>
      <c r="Q1959" s="145" t="s">
        <v>72</v>
      </c>
      <c r="R1959" s="145"/>
      <c r="S1959" s="145"/>
      <c r="T1959" s="145"/>
      <c r="U1959" s="83"/>
      <c r="V1959" s="17"/>
      <c r="W1959" s="66">
        <v>0.52013888888888882</v>
      </c>
      <c r="X1959" s="7">
        <v>85</v>
      </c>
      <c r="Y1959" s="7">
        <v>228.85</v>
      </c>
      <c r="Z1959" s="66">
        <v>0.52013888888888882</v>
      </c>
    </row>
    <row r="1960" spans="2:26" x14ac:dyDescent="0.3">
      <c r="B1960" s="5">
        <f>B1961-50</f>
        <v>14700</v>
      </c>
      <c r="C1960" s="7">
        <v>127.45</v>
      </c>
      <c r="D1960" s="7">
        <v>127.45</v>
      </c>
      <c r="E1960" s="16"/>
      <c r="F1960" s="7">
        <f t="shared" ref="F1960:F1965" si="139">B1960+D1960</f>
        <v>14827.45</v>
      </c>
      <c r="G1960" s="16">
        <f>AVERAGE(H1960,H1970)</f>
        <v>145.72500000000002</v>
      </c>
      <c r="H1960" s="7">
        <v>115.65</v>
      </c>
      <c r="I1960" s="7">
        <v>101.1</v>
      </c>
      <c r="J1960" s="7">
        <v>94.6</v>
      </c>
      <c r="K1960" s="7">
        <v>72.95</v>
      </c>
      <c r="L1960" s="7"/>
      <c r="M1960" s="7">
        <v>98.75</v>
      </c>
      <c r="N1960" s="17"/>
      <c r="P1960" s="16"/>
      <c r="Q1960" s="34"/>
      <c r="R1960" s="34" t="s">
        <v>111</v>
      </c>
      <c r="S1960" s="34" t="s">
        <v>2</v>
      </c>
      <c r="T1960" s="34" t="s">
        <v>1</v>
      </c>
      <c r="U1960" s="84"/>
      <c r="V1960" s="17"/>
      <c r="W1960" s="66">
        <v>0.54097222222222219</v>
      </c>
      <c r="X1960" s="7">
        <v>87.8</v>
      </c>
      <c r="Y1960" s="7">
        <v>214.7</v>
      </c>
      <c r="Z1960" s="66">
        <v>0.54097222222222219</v>
      </c>
    </row>
    <row r="1961" spans="2:26" x14ac:dyDescent="0.3">
      <c r="B1961" s="5">
        <f>B1962-50</f>
        <v>14750</v>
      </c>
      <c r="C1961" s="7">
        <v>104.15</v>
      </c>
      <c r="D1961" s="7">
        <v>104.15</v>
      </c>
      <c r="E1961" s="16"/>
      <c r="F1961" s="7">
        <f t="shared" si="139"/>
        <v>14854.15</v>
      </c>
      <c r="G1961" s="17"/>
      <c r="H1961" s="7">
        <v>94.4</v>
      </c>
      <c r="I1961" s="7">
        <v>82.1</v>
      </c>
      <c r="J1961" s="7">
        <v>77.150000000000006</v>
      </c>
      <c r="K1961" s="7">
        <v>58.7</v>
      </c>
      <c r="L1961" s="7"/>
      <c r="M1961" s="7">
        <v>76.7</v>
      </c>
      <c r="N1961" s="17"/>
      <c r="P1961" s="16"/>
      <c r="Q1961" s="7">
        <f>(T1961-S1961)*R1961</f>
        <v>0</v>
      </c>
      <c r="R1961" s="109"/>
      <c r="S1961" s="7"/>
      <c r="T1961" s="7"/>
      <c r="U1961" s="70"/>
      <c r="V1961" s="17"/>
      <c r="W1961" s="66">
        <v>6.1805555555555558E-2</v>
      </c>
      <c r="X1961" s="7">
        <v>93.95</v>
      </c>
      <c r="Y1961" s="7">
        <v>192.35</v>
      </c>
      <c r="Z1961" s="66">
        <v>6.1805555555555558E-2</v>
      </c>
    </row>
    <row r="1962" spans="2:26" x14ac:dyDescent="0.3">
      <c r="B1962" s="97">
        <v>14800</v>
      </c>
      <c r="C1962" s="7">
        <v>84.25</v>
      </c>
      <c r="D1962" s="7">
        <v>84.25</v>
      </c>
      <c r="E1962" s="16"/>
      <c r="F1962" s="7">
        <f t="shared" si="139"/>
        <v>14884.25</v>
      </c>
      <c r="G1962" s="17"/>
      <c r="H1962" s="7">
        <v>75.05</v>
      </c>
      <c r="I1962" s="7">
        <v>65.45</v>
      </c>
      <c r="J1962" s="7">
        <v>62</v>
      </c>
      <c r="K1962" s="7">
        <v>46.8</v>
      </c>
      <c r="L1962" s="7"/>
      <c r="M1962" s="7">
        <v>58.4</v>
      </c>
      <c r="N1962" s="17"/>
      <c r="P1962" s="17"/>
      <c r="Q1962" s="7">
        <f t="shared" ref="Q1962:Q1964" si="140">(T1962-S1962)*R1962</f>
        <v>0</v>
      </c>
      <c r="R1962" s="109"/>
      <c r="S1962" s="7"/>
      <c r="T1962" s="7"/>
      <c r="U1962" s="70"/>
      <c r="V1962" s="17"/>
      <c r="W1962" s="66">
        <v>8.2638888888888887E-2</v>
      </c>
      <c r="X1962" s="7">
        <v>98.3</v>
      </c>
      <c r="Y1962" s="7">
        <v>178.65</v>
      </c>
      <c r="Z1962" s="66">
        <v>8.2638888888888887E-2</v>
      </c>
    </row>
    <row r="1963" spans="2:26" x14ac:dyDescent="0.3">
      <c r="B1963" s="5">
        <f>B1962+50</f>
        <v>14850</v>
      </c>
      <c r="C1963" s="51">
        <v>66.400000000000006</v>
      </c>
      <c r="D1963" s="23">
        <v>66.400000000000006</v>
      </c>
      <c r="E1963" s="16"/>
      <c r="F1963" s="98">
        <f t="shared" si="139"/>
        <v>14916.4</v>
      </c>
      <c r="G1963" s="17"/>
      <c r="H1963" s="7">
        <v>59.8</v>
      </c>
      <c r="I1963" s="7">
        <v>51.15</v>
      </c>
      <c r="J1963" s="7">
        <v>49.45</v>
      </c>
      <c r="K1963" s="7">
        <v>37.35</v>
      </c>
      <c r="L1963" s="7"/>
      <c r="M1963" s="7">
        <v>44.05</v>
      </c>
      <c r="N1963" s="17"/>
      <c r="P1963" s="17"/>
      <c r="Q1963" s="7">
        <f t="shared" si="140"/>
        <v>0</v>
      </c>
      <c r="R1963" s="109"/>
      <c r="S1963" s="18"/>
      <c r="T1963" s="18"/>
      <c r="U1963" s="101"/>
      <c r="V1963" s="17"/>
      <c r="W1963" s="17"/>
      <c r="X1963" s="17"/>
      <c r="Y1963" s="17"/>
      <c r="Z1963" s="17"/>
    </row>
    <row r="1964" spans="2:26" x14ac:dyDescent="0.3">
      <c r="B1964" s="99">
        <f>B1963+50</f>
        <v>14900</v>
      </c>
      <c r="C1964" s="7">
        <v>51.55</v>
      </c>
      <c r="D1964" s="7">
        <v>51.55</v>
      </c>
      <c r="E1964" s="16"/>
      <c r="F1964" s="7">
        <f t="shared" si="139"/>
        <v>14951.55</v>
      </c>
      <c r="G1964" s="17"/>
      <c r="H1964" s="7">
        <v>46</v>
      </c>
      <c r="I1964" s="7">
        <v>40</v>
      </c>
      <c r="J1964" s="7">
        <v>39.200000000000003</v>
      </c>
      <c r="K1964" s="7">
        <v>29.3</v>
      </c>
      <c r="L1964" s="7"/>
      <c r="M1964" s="7">
        <v>32.1</v>
      </c>
      <c r="N1964" s="17"/>
      <c r="P1964" s="17"/>
      <c r="Q1964" s="7">
        <f t="shared" si="140"/>
        <v>0</v>
      </c>
      <c r="R1964" s="109"/>
      <c r="S1964" s="18"/>
      <c r="T1964" s="18"/>
      <c r="U1964" s="101"/>
      <c r="V1964" s="17"/>
      <c r="W1964" s="90" t="s">
        <v>68</v>
      </c>
      <c r="X1964" s="91" t="s">
        <v>69</v>
      </c>
      <c r="Y1964" s="92" t="s">
        <v>70</v>
      </c>
      <c r="Z1964" s="90" t="s">
        <v>68</v>
      </c>
    </row>
    <row r="1965" spans="2:26" x14ac:dyDescent="0.3">
      <c r="B1965" s="5">
        <f>B1964+50</f>
        <v>14950</v>
      </c>
      <c r="C1965" s="7">
        <v>38.6</v>
      </c>
      <c r="D1965" s="7">
        <v>38.6</v>
      </c>
      <c r="E1965" s="16"/>
      <c r="F1965" s="7">
        <f t="shared" si="139"/>
        <v>14988.6</v>
      </c>
      <c r="G1965" s="16"/>
      <c r="H1965" s="7">
        <v>34.950000000000003</v>
      </c>
      <c r="I1965" s="7">
        <v>30.2</v>
      </c>
      <c r="J1965" s="7">
        <v>30.7</v>
      </c>
      <c r="K1965" s="7">
        <v>22.85</v>
      </c>
      <c r="L1965" s="7"/>
      <c r="M1965" s="7">
        <v>22.85</v>
      </c>
      <c r="N1965" s="17"/>
      <c r="P1965" s="17"/>
      <c r="Q1965" s="5" t="s">
        <v>112</v>
      </c>
      <c r="R1965" s="7">
        <f>SUM(Q1961:Q1964)</f>
        <v>0</v>
      </c>
      <c r="S1965" s="5">
        <f>SUM(S1961:S1964)</f>
        <v>0</v>
      </c>
      <c r="T1965" s="5" t="e">
        <f>(R1965/S1965)*2</f>
        <v>#DIV/0!</v>
      </c>
      <c r="U1965" s="100"/>
      <c r="V1965" s="17"/>
      <c r="W1965" s="66">
        <v>0.41597222222222219</v>
      </c>
      <c r="X1965" s="7">
        <v>66.400000000000006</v>
      </c>
      <c r="Y1965" s="7">
        <v>97</v>
      </c>
      <c r="Z1965" s="66">
        <v>0.41597222222222219</v>
      </c>
    </row>
    <row r="1966" spans="2:26" x14ac:dyDescent="0.3">
      <c r="B1966" s="17"/>
      <c r="C1966" s="17"/>
      <c r="D1966" s="16"/>
      <c r="E1966" s="16">
        <f>F1966-(G1966-F1966)</f>
        <v>72.099999999999994</v>
      </c>
      <c r="F1966" s="16">
        <f>AVERAGE(C1962,C1973)</f>
        <v>90.625</v>
      </c>
      <c r="G1966" s="16">
        <f>AVERAGE(C1961,C1972)</f>
        <v>109.15</v>
      </c>
      <c r="H1966" s="101"/>
      <c r="I1966" s="101"/>
      <c r="J1966" s="101"/>
      <c r="K1966" s="101"/>
      <c r="L1966" s="101"/>
      <c r="M1966" s="101"/>
      <c r="N1966" s="17"/>
      <c r="P1966" s="17"/>
      <c r="Q1966" s="17"/>
      <c r="R1966" s="17"/>
      <c r="S1966" s="17"/>
      <c r="T1966" s="17"/>
      <c r="U1966" s="17"/>
      <c r="V1966" s="16"/>
      <c r="W1966" s="66">
        <v>0.4368055555555555</v>
      </c>
      <c r="X1966" s="7">
        <v>49.45</v>
      </c>
      <c r="Y1966" s="7">
        <v>158.44999999999999</v>
      </c>
      <c r="Z1966" s="66">
        <v>0.4368055555555555</v>
      </c>
    </row>
    <row r="1967" spans="2:26" x14ac:dyDescent="0.3">
      <c r="B1967" s="17"/>
      <c r="C1967" s="95">
        <v>44294</v>
      </c>
      <c r="D1967" s="17"/>
      <c r="F1967" s="16"/>
      <c r="H1967" s="66">
        <v>0.41666666666666669</v>
      </c>
      <c r="I1967" s="66">
        <v>0.41805555555555557</v>
      </c>
      <c r="J1967" s="67">
        <v>0.4368055555555555</v>
      </c>
      <c r="K1967" s="66">
        <v>0.46597222222222223</v>
      </c>
      <c r="L1967" s="66"/>
      <c r="M1967" s="66">
        <v>0.13541666666666666</v>
      </c>
      <c r="P1967" s="17"/>
      <c r="Q1967" s="7">
        <f>(T1967-S1967)*R1967</f>
        <v>3375</v>
      </c>
      <c r="R1967" s="109">
        <v>75</v>
      </c>
      <c r="S1967" s="7">
        <v>158.44999999999999</v>
      </c>
      <c r="T1967" s="7">
        <v>203.45</v>
      </c>
      <c r="U1967" s="70"/>
      <c r="V1967" s="17"/>
      <c r="W1967" s="66">
        <v>0.45763888888888887</v>
      </c>
      <c r="X1967" s="7">
        <v>45</v>
      </c>
      <c r="Y1967" s="7">
        <v>164.65</v>
      </c>
      <c r="Z1967" s="66">
        <v>0.45763888888888887</v>
      </c>
    </row>
    <row r="1968" spans="2:26" x14ac:dyDescent="0.3">
      <c r="B1968" s="90" t="s">
        <v>68</v>
      </c>
      <c r="C1968" s="66">
        <v>0.41666666666666669</v>
      </c>
      <c r="D1968" s="66">
        <v>0.39444444444444443</v>
      </c>
      <c r="E1968" s="16">
        <f>F1968-(G1968-F1968)</f>
        <v>78.350000000000009</v>
      </c>
      <c r="F1968" s="16">
        <f>AVERAGE(C1972,C1962)</f>
        <v>99.2</v>
      </c>
      <c r="G1968" s="16">
        <f>AVERAGE(C1971,C1961)</f>
        <v>120.05</v>
      </c>
      <c r="H1968" s="23">
        <v>99.2</v>
      </c>
      <c r="I1968" s="7">
        <v>120.05</v>
      </c>
      <c r="J1968" s="7">
        <v>14596.4</v>
      </c>
      <c r="K1968" s="7">
        <v>14511.55</v>
      </c>
      <c r="L1968" s="23"/>
      <c r="M1968" s="7">
        <v>14695.95</v>
      </c>
      <c r="P1968" s="17"/>
      <c r="Q1968" s="7">
        <f t="shared" ref="Q1968:Q1970" si="141">(T1968-S1968)*R1968</f>
        <v>0</v>
      </c>
      <c r="R1968" s="109"/>
      <c r="S1968" s="7"/>
      <c r="T1968" s="7"/>
      <c r="U1968" s="70"/>
      <c r="V1968" s="17"/>
      <c r="W1968" s="66">
        <v>0.47847222222222219</v>
      </c>
      <c r="X1968" s="7">
        <v>38.25</v>
      </c>
      <c r="Y1968" s="7">
        <v>191</v>
      </c>
      <c r="Z1968" s="66">
        <v>0.47847222222222219</v>
      </c>
    </row>
    <row r="1969" spans="2:26" x14ac:dyDescent="0.3">
      <c r="B1969" s="5">
        <f>B1970+50</f>
        <v>14750</v>
      </c>
      <c r="C1969" s="7">
        <v>187.15</v>
      </c>
      <c r="D1969" s="7">
        <v>123.5</v>
      </c>
      <c r="E1969" s="16"/>
      <c r="F1969" s="7">
        <f t="shared" ref="F1969:F1974" si="142">B1969-D1969</f>
        <v>14626.5</v>
      </c>
      <c r="G1969" s="16"/>
      <c r="H1969" s="7">
        <v>204.75</v>
      </c>
      <c r="I1969" s="7">
        <v>243.65</v>
      </c>
      <c r="J1969" s="7">
        <v>272.89999999999998</v>
      </c>
      <c r="K1969" s="7">
        <v>331.4</v>
      </c>
      <c r="L1969" s="7"/>
      <c r="M1969" s="7">
        <v>185</v>
      </c>
      <c r="N1969" s="17"/>
      <c r="P1969" s="17"/>
      <c r="Q1969" s="7">
        <f t="shared" si="141"/>
        <v>0</v>
      </c>
      <c r="R1969" s="109"/>
      <c r="S1969" s="18"/>
      <c r="T1969" s="18"/>
      <c r="U1969" s="101"/>
      <c r="V1969" s="16"/>
      <c r="W1969" s="66">
        <v>0.4993055555555555</v>
      </c>
      <c r="X1969" s="7">
        <v>37.950000000000003</v>
      </c>
      <c r="Y1969" s="7">
        <v>172</v>
      </c>
      <c r="Z1969" s="66">
        <v>0.4993055555555555</v>
      </c>
    </row>
    <row r="1970" spans="2:26" x14ac:dyDescent="0.3">
      <c r="B1970" s="5">
        <f>B1971+50</f>
        <v>14700</v>
      </c>
      <c r="C1970" s="7">
        <v>158.55000000000001</v>
      </c>
      <c r="D1970" s="7">
        <v>103.85</v>
      </c>
      <c r="E1970" s="16"/>
      <c r="F1970" s="7">
        <f t="shared" si="142"/>
        <v>14596.15</v>
      </c>
      <c r="G1970" s="17"/>
      <c r="H1970" s="7">
        <v>175.8</v>
      </c>
      <c r="I1970" s="7">
        <v>212.7</v>
      </c>
      <c r="J1970" s="7">
        <v>240.15</v>
      </c>
      <c r="K1970" s="7">
        <v>295.60000000000002</v>
      </c>
      <c r="L1970" s="7"/>
      <c r="M1970" s="7">
        <v>156.44999999999999</v>
      </c>
      <c r="N1970" s="17"/>
      <c r="P1970" s="17"/>
      <c r="Q1970" s="7">
        <f t="shared" si="141"/>
        <v>0</v>
      </c>
      <c r="R1970" s="109"/>
      <c r="S1970" s="18"/>
      <c r="T1970" s="18"/>
      <c r="U1970" s="101"/>
      <c r="V1970" s="16"/>
      <c r="W1970" s="66">
        <v>0.52013888888888882</v>
      </c>
      <c r="X1970" s="7">
        <v>41.45</v>
      </c>
      <c r="Y1970" s="7">
        <v>148.9</v>
      </c>
      <c r="Z1970" s="66">
        <v>0.52013888888888882</v>
      </c>
    </row>
    <row r="1971" spans="2:26" x14ac:dyDescent="0.3">
      <c r="B1971" s="97">
        <v>14650</v>
      </c>
      <c r="C1971" s="7">
        <v>135.94999999999999</v>
      </c>
      <c r="D1971" s="7">
        <v>87.75</v>
      </c>
      <c r="E1971" s="16"/>
      <c r="F1971" s="7">
        <f t="shared" si="142"/>
        <v>14562.25</v>
      </c>
      <c r="G1971" s="17"/>
      <c r="H1971" s="7">
        <v>151.1</v>
      </c>
      <c r="I1971" s="7">
        <v>185.7</v>
      </c>
      <c r="J1971" s="7">
        <v>210.4</v>
      </c>
      <c r="K1971" s="7">
        <v>263.75</v>
      </c>
      <c r="L1971" s="7"/>
      <c r="M1971" s="7">
        <v>132.55000000000001</v>
      </c>
      <c r="N1971" s="17"/>
      <c r="P1971" s="17"/>
      <c r="Q1971" s="5" t="s">
        <v>112</v>
      </c>
      <c r="R1971" s="7">
        <f>SUM(Q1967:Q1970)</f>
        <v>3375</v>
      </c>
      <c r="S1971" s="5">
        <f>SUM(S1967:S1970)</f>
        <v>158.44999999999999</v>
      </c>
      <c r="T1971" s="5">
        <f>(R1971/S1971)*2</f>
        <v>42.600189334174821</v>
      </c>
      <c r="U1971" s="100"/>
      <c r="V1971" s="17"/>
      <c r="W1971" s="66">
        <v>0.54097222222222219</v>
      </c>
      <c r="X1971" s="7">
        <v>41.9</v>
      </c>
      <c r="Y1971" s="7">
        <v>137.19999999999999</v>
      </c>
      <c r="Z1971" s="66">
        <v>0.54097222222222219</v>
      </c>
    </row>
    <row r="1972" spans="2:26" x14ac:dyDescent="0.3">
      <c r="B1972" s="14">
        <f>B1971-50</f>
        <v>14600</v>
      </c>
      <c r="C1972" s="7">
        <v>114.15</v>
      </c>
      <c r="D1972" s="23">
        <v>73.55</v>
      </c>
      <c r="E1972" s="16"/>
      <c r="F1972" s="98">
        <f t="shared" si="142"/>
        <v>14526.45</v>
      </c>
      <c r="G1972" s="17"/>
      <c r="H1972" s="7">
        <v>127.85</v>
      </c>
      <c r="I1972" s="7">
        <v>159.5</v>
      </c>
      <c r="J1972" s="7">
        <v>183.05</v>
      </c>
      <c r="K1972" s="7">
        <v>232.3</v>
      </c>
      <c r="L1972" s="7"/>
      <c r="M1972" s="7">
        <v>110.8</v>
      </c>
      <c r="N1972" s="17"/>
      <c r="P1972" s="17"/>
      <c r="Q1972" s="17"/>
      <c r="R1972" s="17"/>
      <c r="S1972" s="17"/>
      <c r="T1972" s="17"/>
      <c r="U1972" s="17"/>
      <c r="V1972" s="17"/>
      <c r="W1972" s="66">
        <v>6.1805555555555558E-2</v>
      </c>
      <c r="X1972" s="7">
        <v>44</v>
      </c>
      <c r="Y1972" s="7">
        <v>121.5</v>
      </c>
      <c r="Z1972" s="66">
        <v>6.1805555555555558E-2</v>
      </c>
    </row>
    <row r="1973" spans="2:26" x14ac:dyDescent="0.3">
      <c r="B1973" s="99">
        <f>B1972-50</f>
        <v>14550</v>
      </c>
      <c r="C1973" s="51">
        <v>97</v>
      </c>
      <c r="D1973" s="7">
        <v>61.25</v>
      </c>
      <c r="E1973" s="16"/>
      <c r="F1973" s="7">
        <f t="shared" si="142"/>
        <v>14488.75</v>
      </c>
      <c r="G1973" s="40">
        <f>MIN(AVERAGE(G1974,H1970),G1960)</f>
        <v>145.72500000000002</v>
      </c>
      <c r="H1973" s="7">
        <v>107.4</v>
      </c>
      <c r="I1973" s="7">
        <v>137.05000000000001</v>
      </c>
      <c r="J1973" s="7">
        <v>158.44999999999999</v>
      </c>
      <c r="K1973" s="7">
        <v>203.45</v>
      </c>
      <c r="L1973" s="7"/>
      <c r="M1973" s="7">
        <v>92.95</v>
      </c>
      <c r="N1973" s="17"/>
      <c r="P1973" s="17"/>
      <c r="Q1973" s="17"/>
      <c r="R1973" s="17"/>
      <c r="S1973" s="17"/>
      <c r="T1973" s="17"/>
      <c r="U1973" s="17"/>
      <c r="V1973" s="17"/>
      <c r="W1973" s="66">
        <v>8.2638888888888887E-2</v>
      </c>
      <c r="X1973" s="7">
        <v>45.35</v>
      </c>
      <c r="Y1973" s="7">
        <v>110.65</v>
      </c>
      <c r="Z1973" s="66">
        <v>8.2638888888888887E-2</v>
      </c>
    </row>
    <row r="1974" spans="2:26" x14ac:dyDescent="0.3">
      <c r="B1974" s="5">
        <f>B1973-50</f>
        <v>14500</v>
      </c>
      <c r="C1974" s="7">
        <v>80.150000000000006</v>
      </c>
      <c r="D1974" s="7">
        <v>50.4</v>
      </c>
      <c r="E1974" s="16"/>
      <c r="F1974" s="7">
        <f t="shared" si="142"/>
        <v>14449.6</v>
      </c>
      <c r="G1974" s="16">
        <f>AVERAGE(H1970:H1973)</f>
        <v>140.53749999999999</v>
      </c>
      <c r="H1974" s="7">
        <v>90</v>
      </c>
      <c r="I1974" s="7">
        <v>116.45</v>
      </c>
      <c r="J1974" s="7">
        <v>136.5</v>
      </c>
      <c r="K1974" s="7">
        <v>176.95</v>
      </c>
      <c r="L1974" s="7"/>
      <c r="M1974" s="7">
        <v>76.2</v>
      </c>
      <c r="N1974" s="17"/>
      <c r="P1974" s="98">
        <f>SUM(R1965,R1971)</f>
        <v>3375</v>
      </c>
      <c r="Q1974" s="92" t="s">
        <v>72</v>
      </c>
      <c r="R1974" s="17"/>
      <c r="S1974" s="92" t="s">
        <v>73</v>
      </c>
      <c r="T1974" s="7">
        <f>((X1966+Y1966)-(X1974+Y1974))</f>
        <v>10.25</v>
      </c>
      <c r="U1974" s="7"/>
      <c r="V1974" s="98">
        <f>T1974*M1955</f>
        <v>1537.5</v>
      </c>
      <c r="W1974" s="66">
        <v>0.46597222222222223</v>
      </c>
      <c r="X1974" s="7">
        <v>39.200000000000003</v>
      </c>
      <c r="Y1974" s="23">
        <v>158.44999999999999</v>
      </c>
      <c r="Z1974" s="66">
        <v>0.4368055555555555</v>
      </c>
    </row>
    <row r="1986" spans="2:26" x14ac:dyDescent="0.3">
      <c r="B1986" s="40"/>
      <c r="C1986" s="50">
        <f>AVERAGE(B1987,D1986)</f>
        <v>14815.5</v>
      </c>
      <c r="D1986" s="51">
        <f>B1987+E1987</f>
        <v>14860.5</v>
      </c>
      <c r="E1986" s="50">
        <f>AVERAGE(D1986,F1986)</f>
        <v>14905.5</v>
      </c>
      <c r="F1986" s="50">
        <f>D1986+E1987</f>
        <v>14950.5</v>
      </c>
      <c r="G1986" s="17"/>
      <c r="H1986" s="88" t="str">
        <f>IF((C1995-D1995)&gt;(C2004-D2004),"LONG",IF(C2004&gt;D2002,"LONG","SHORT"))</f>
        <v>LONG</v>
      </c>
      <c r="I1986" s="104">
        <v>14616</v>
      </c>
      <c r="J1986" s="105" t="s">
        <v>122</v>
      </c>
      <c r="K1986" s="106">
        <v>14809</v>
      </c>
      <c r="L1986" s="17"/>
      <c r="M1986" s="94">
        <f>(187000)/4</f>
        <v>46750</v>
      </c>
      <c r="N1986" s="17"/>
      <c r="P1986" s="16"/>
      <c r="Q1986" s="149" t="s">
        <v>71</v>
      </c>
      <c r="R1986" s="149"/>
      <c r="S1986" s="149" t="s">
        <v>37</v>
      </c>
      <c r="T1986" s="149"/>
      <c r="U1986" s="89"/>
      <c r="V1986" s="17"/>
      <c r="W1986" s="90" t="s">
        <v>68</v>
      </c>
      <c r="X1986" s="91" t="s">
        <v>69</v>
      </c>
      <c r="Y1986" s="92" t="s">
        <v>70</v>
      </c>
      <c r="Z1986" s="90" t="s">
        <v>68</v>
      </c>
    </row>
    <row r="1987" spans="2:26" x14ac:dyDescent="0.3">
      <c r="B1987" s="50">
        <v>14770.5</v>
      </c>
      <c r="C1987" s="40"/>
      <c r="D1987" s="58"/>
      <c r="E1987" s="59">
        <f>ROUND((((B1987*F1987%)/4)/10),0)*10</f>
        <v>90</v>
      </c>
      <c r="F1987" s="51">
        <f>(100/B1987)*(F1996-F2005)</f>
        <v>2.3888832470126289</v>
      </c>
      <c r="G1987" s="17"/>
      <c r="H1987" s="93">
        <v>0.39166666666666666</v>
      </c>
      <c r="I1987" s="93">
        <v>0.39861111111111108</v>
      </c>
      <c r="J1987" s="93">
        <v>0.4055555555555555</v>
      </c>
      <c r="K1987" s="93">
        <v>0.41250000000000003</v>
      </c>
      <c r="L1987" s="17"/>
      <c r="N1987" s="17"/>
      <c r="P1987" s="16"/>
      <c r="Q1987" s="51">
        <f>R1987-(S1987-R1987)</f>
        <v>14056.45</v>
      </c>
      <c r="R1987" s="51">
        <v>14512.1</v>
      </c>
      <c r="S1987" s="51">
        <v>14967.75</v>
      </c>
      <c r="T1987" s="51">
        <f>S1987+(S1987-R1987)</f>
        <v>15423.4</v>
      </c>
      <c r="U1987" s="62"/>
      <c r="V1987" s="17"/>
      <c r="W1987" s="66">
        <v>0.41597222222222219</v>
      </c>
      <c r="X1987" s="7">
        <v>129.35</v>
      </c>
      <c r="Y1987" s="7">
        <v>133.9</v>
      </c>
      <c r="Z1987" s="66">
        <v>0.41597222222222219</v>
      </c>
    </row>
    <row r="1988" spans="2:26" x14ac:dyDescent="0.3">
      <c r="B1988" s="40"/>
      <c r="C1988" s="50">
        <f>AVERAGE(B1987,D1988)</f>
        <v>14725.5</v>
      </c>
      <c r="D1988" s="51">
        <f>B1987-E1987</f>
        <v>14680.5</v>
      </c>
      <c r="E1988" s="50">
        <f>AVERAGE(D1988,F1988)</f>
        <v>14635.5</v>
      </c>
      <c r="F1988" s="50">
        <f>D1988-E1987</f>
        <v>14590.5</v>
      </c>
      <c r="G1988" s="17"/>
      <c r="H1988" s="51">
        <v>14664</v>
      </c>
      <c r="I1988" s="51">
        <v>14765.95</v>
      </c>
      <c r="J1988" s="51">
        <v>14780</v>
      </c>
      <c r="K1988" s="51">
        <v>14779</v>
      </c>
      <c r="L1988" s="17"/>
      <c r="M1988" s="94">
        <f>ROUND((M1986/AVERAGE(F1999,F2001))/225,0)*75</f>
        <v>225</v>
      </c>
      <c r="N1988" s="17"/>
      <c r="P1988" s="16"/>
      <c r="Q1988" s="17"/>
      <c r="R1988" s="17"/>
      <c r="S1988" s="17"/>
      <c r="T1988" s="16"/>
      <c r="U1988" s="16"/>
      <c r="V1988" s="17"/>
      <c r="W1988" s="66">
        <v>0.4368055555555555</v>
      </c>
      <c r="X1988" s="7">
        <v>116.75</v>
      </c>
      <c r="Y1988" s="7">
        <v>137.94999999999999</v>
      </c>
      <c r="Z1988" s="66">
        <v>0.4368055555555555</v>
      </c>
    </row>
    <row r="1989" spans="2:26" x14ac:dyDescent="0.3">
      <c r="B1989" s="17"/>
      <c r="C1989" s="17"/>
      <c r="D1989" s="17"/>
      <c r="E1989" s="17"/>
      <c r="F1989" s="16"/>
      <c r="G1989" s="16"/>
      <c r="H1989" s="17"/>
      <c r="I1989" s="17"/>
      <c r="J1989" s="17"/>
      <c r="K1989" s="16"/>
      <c r="L1989" s="17"/>
      <c r="M1989" s="17"/>
      <c r="N1989" s="17"/>
      <c r="P1989" s="16"/>
      <c r="Q1989" s="17"/>
      <c r="R1989" s="17"/>
      <c r="S1989" s="17"/>
      <c r="T1989" s="17"/>
      <c r="U1989" s="17"/>
      <c r="V1989" s="17"/>
      <c r="W1989" s="66">
        <v>0.45763888888888887</v>
      </c>
      <c r="X1989" s="7">
        <v>130.44999999999999</v>
      </c>
      <c r="Y1989" s="7">
        <v>119.3</v>
      </c>
      <c r="Z1989" s="66">
        <v>0.45763888888888887</v>
      </c>
    </row>
    <row r="1990" spans="2:26" x14ac:dyDescent="0.3">
      <c r="B1990" s="16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P1990" s="16"/>
      <c r="Q1990" s="17"/>
      <c r="R1990" s="17"/>
      <c r="S1990" s="17"/>
      <c r="T1990" s="17"/>
      <c r="U1990" s="17"/>
      <c r="V1990" s="17"/>
      <c r="W1990" s="66">
        <v>0.47847222222222219</v>
      </c>
      <c r="X1990" s="7">
        <v>147.65</v>
      </c>
      <c r="Y1990" s="7">
        <v>102.3</v>
      </c>
      <c r="Z1990" s="66">
        <v>0.47847222222222219</v>
      </c>
    </row>
    <row r="1991" spans="2:26" x14ac:dyDescent="0.3">
      <c r="B1991" s="17"/>
      <c r="C1991" s="95">
        <v>44292</v>
      </c>
      <c r="D1991" s="17"/>
      <c r="E1991" s="17"/>
      <c r="F1991" s="7">
        <f>AVERAGE(F1993,F2002)</f>
        <v>14733.45</v>
      </c>
      <c r="G1991" s="96"/>
      <c r="H1991" s="66">
        <v>0.4284722222222222</v>
      </c>
      <c r="I1991" s="66">
        <v>0.4381944444444445</v>
      </c>
      <c r="J1991" s="66">
        <v>0.4465277777777778</v>
      </c>
      <c r="K1991" s="66">
        <v>0.52569444444444446</v>
      </c>
      <c r="L1991" s="66"/>
      <c r="M1991" s="66">
        <v>0.13541666666666666</v>
      </c>
      <c r="N1991" s="17"/>
      <c r="P1991" s="16"/>
      <c r="Q1991" s="17"/>
      <c r="R1991" s="17"/>
      <c r="S1991" s="17"/>
      <c r="T1991" s="17"/>
      <c r="U1991" s="17"/>
      <c r="V1991" s="17"/>
      <c r="W1991" s="66">
        <v>0.4993055555555555</v>
      </c>
      <c r="X1991" s="7">
        <v>129.80000000000001</v>
      </c>
      <c r="Y1991" s="7">
        <v>115.25</v>
      </c>
      <c r="Z1991" s="66">
        <v>0.4993055555555555</v>
      </c>
    </row>
    <row r="1992" spans="2:26" x14ac:dyDescent="0.3">
      <c r="B1992" s="90" t="s">
        <v>68</v>
      </c>
      <c r="C1992" s="66">
        <v>0.41666666666666669</v>
      </c>
      <c r="D1992" s="66">
        <v>0.3888888888888889</v>
      </c>
      <c r="E1992" s="17"/>
      <c r="F1992" s="17"/>
      <c r="G1992" s="17"/>
      <c r="H1992" s="7">
        <v>14732.4</v>
      </c>
      <c r="I1992" s="7">
        <v>14762</v>
      </c>
      <c r="J1992" s="7">
        <v>14783.5</v>
      </c>
      <c r="K1992" s="7">
        <v>14728.1</v>
      </c>
      <c r="L1992" s="7"/>
      <c r="M1992" s="7">
        <v>14743.45</v>
      </c>
      <c r="N1992" s="17"/>
      <c r="P1992" s="16"/>
      <c r="Q1992" s="145" t="s">
        <v>72</v>
      </c>
      <c r="R1992" s="145"/>
      <c r="S1992" s="145"/>
      <c r="T1992" s="145"/>
      <c r="U1992" s="83"/>
      <c r="V1992" s="17"/>
      <c r="W1992" s="66">
        <v>0.52013888888888882</v>
      </c>
      <c r="X1992" s="7">
        <v>121.15</v>
      </c>
      <c r="Y1992" s="7">
        <v>122.55</v>
      </c>
      <c r="Z1992" s="66">
        <v>0.52013888888888882</v>
      </c>
    </row>
    <row r="1993" spans="2:26" x14ac:dyDescent="0.3">
      <c r="B1993" s="5">
        <f>B1994-50</f>
        <v>14750</v>
      </c>
      <c r="C1993" s="7">
        <v>101.85</v>
      </c>
      <c r="D1993" s="7">
        <v>59.3</v>
      </c>
      <c r="E1993" s="16"/>
      <c r="F1993" s="7">
        <f t="shared" ref="F1993:F1998" si="143">B1993+D1993</f>
        <v>14809.3</v>
      </c>
      <c r="G1993" s="16">
        <v>130</v>
      </c>
      <c r="H1993" s="7">
        <v>83.45</v>
      </c>
      <c r="I1993" s="7">
        <v>96</v>
      </c>
      <c r="J1993" s="7">
        <v>102.6</v>
      </c>
      <c r="K1993" s="7">
        <v>75.8</v>
      </c>
      <c r="L1993" s="7"/>
      <c r="M1993" s="7">
        <v>71.8</v>
      </c>
      <c r="N1993" s="17"/>
      <c r="P1993" s="16"/>
      <c r="Q1993" s="34"/>
      <c r="R1993" s="34" t="s">
        <v>111</v>
      </c>
      <c r="S1993" s="34" t="s">
        <v>2</v>
      </c>
      <c r="T1993" s="34" t="s">
        <v>1</v>
      </c>
      <c r="U1993" s="84"/>
      <c r="V1993" s="17"/>
      <c r="W1993" s="66">
        <v>0.54097222222222219</v>
      </c>
      <c r="X1993" s="7">
        <v>95.3</v>
      </c>
      <c r="Y1993" s="7">
        <v>150.55000000000001</v>
      </c>
      <c r="Z1993" s="66">
        <v>0.54097222222222219</v>
      </c>
    </row>
    <row r="1994" spans="2:26" x14ac:dyDescent="0.3">
      <c r="B1994" s="5">
        <f>B1995-50</f>
        <v>14800</v>
      </c>
      <c r="C1994" s="7">
        <v>78.849999999999994</v>
      </c>
      <c r="D1994" s="7">
        <v>43.55</v>
      </c>
      <c r="E1994" s="16"/>
      <c r="F1994" s="7">
        <f t="shared" si="143"/>
        <v>14843.55</v>
      </c>
      <c r="G1994" s="16"/>
      <c r="H1994" s="7">
        <v>62.6</v>
      </c>
      <c r="I1994" s="7">
        <v>72.599999999999994</v>
      </c>
      <c r="J1994" s="7">
        <v>78.900000000000006</v>
      </c>
      <c r="K1994" s="7">
        <v>55.65</v>
      </c>
      <c r="L1994" s="7"/>
      <c r="M1994" s="7">
        <v>51.55</v>
      </c>
      <c r="N1994" s="17"/>
      <c r="P1994" s="16"/>
      <c r="Q1994" s="7">
        <f>(T1994-S1994)*R1994</f>
        <v>0</v>
      </c>
      <c r="R1994" s="109"/>
      <c r="S1994" s="7"/>
      <c r="T1994" s="7"/>
      <c r="U1994" s="70"/>
      <c r="V1994" s="17"/>
      <c r="W1994" s="66">
        <v>6.1805555555555558E-2</v>
      </c>
      <c r="X1994" s="7">
        <v>89.6</v>
      </c>
      <c r="Y1994" s="7">
        <v>154.94999999999999</v>
      </c>
      <c r="Z1994" s="66">
        <v>6.1805555555555558E-2</v>
      </c>
    </row>
    <row r="1995" spans="2:26" x14ac:dyDescent="0.3">
      <c r="B1995" s="97">
        <v>14850</v>
      </c>
      <c r="C1995" s="51">
        <v>59.25</v>
      </c>
      <c r="D1995" s="7">
        <v>31.55</v>
      </c>
      <c r="E1995" s="16"/>
      <c r="F1995" s="7">
        <f t="shared" si="143"/>
        <v>14881.55</v>
      </c>
      <c r="G1995" s="17"/>
      <c r="H1995" s="7">
        <v>46.35</v>
      </c>
      <c r="I1995" s="7">
        <v>53.9</v>
      </c>
      <c r="J1995" s="7">
        <v>58.6</v>
      </c>
      <c r="K1995" s="7">
        <v>39.799999999999997</v>
      </c>
      <c r="L1995" s="7"/>
      <c r="M1995" s="7">
        <v>36.4</v>
      </c>
      <c r="N1995" s="17"/>
      <c r="P1995" s="16"/>
      <c r="Q1995" s="7">
        <f t="shared" ref="Q1995:Q1997" si="144">(T1995-S1995)*R1995</f>
        <v>0</v>
      </c>
      <c r="R1995" s="109"/>
      <c r="S1995" s="7"/>
      <c r="T1995" s="7"/>
      <c r="U1995" s="70"/>
      <c r="V1995" s="17"/>
      <c r="W1995" s="66">
        <v>8.2638888888888887E-2</v>
      </c>
      <c r="X1995" s="7">
        <v>83</v>
      </c>
      <c r="Y1995" s="7">
        <v>163.80000000000001</v>
      </c>
      <c r="Z1995" s="66">
        <v>8.2638888888888887E-2</v>
      </c>
    </row>
    <row r="1996" spans="2:26" x14ac:dyDescent="0.3">
      <c r="B1996" s="5">
        <f>B1995+50</f>
        <v>14900</v>
      </c>
      <c r="C1996" s="51">
        <v>42.9</v>
      </c>
      <c r="D1996" s="23">
        <v>22.15</v>
      </c>
      <c r="E1996" s="16"/>
      <c r="F1996" s="98">
        <f t="shared" si="143"/>
        <v>14922.15</v>
      </c>
      <c r="G1996" s="17"/>
      <c r="H1996" s="7">
        <v>32.75</v>
      </c>
      <c r="I1996" s="7">
        <v>38.450000000000003</v>
      </c>
      <c r="J1996" s="7">
        <v>42.45</v>
      </c>
      <c r="K1996" s="7">
        <v>27.55</v>
      </c>
      <c r="L1996" s="7"/>
      <c r="M1996" s="7">
        <v>24.7</v>
      </c>
      <c r="N1996" s="17"/>
      <c r="P1996" s="17"/>
      <c r="Q1996" s="7">
        <f t="shared" si="144"/>
        <v>0</v>
      </c>
      <c r="R1996" s="109"/>
      <c r="S1996" s="18"/>
      <c r="T1996" s="18"/>
      <c r="U1996" s="101"/>
      <c r="V1996" s="17"/>
      <c r="W1996" s="17"/>
      <c r="X1996" s="17"/>
      <c r="Y1996" s="17"/>
      <c r="Z1996" s="17"/>
    </row>
    <row r="1997" spans="2:26" x14ac:dyDescent="0.3">
      <c r="B1997" s="99">
        <f>B1996+50</f>
        <v>14950</v>
      </c>
      <c r="C1997" s="7">
        <v>30</v>
      </c>
      <c r="D1997" s="7">
        <v>15</v>
      </c>
      <c r="E1997" s="16"/>
      <c r="F1997" s="7">
        <f t="shared" si="143"/>
        <v>14965</v>
      </c>
      <c r="G1997" s="17"/>
      <c r="H1997" s="7">
        <v>22.7</v>
      </c>
      <c r="I1997" s="7">
        <v>26.75</v>
      </c>
      <c r="J1997" s="7">
        <v>29.6</v>
      </c>
      <c r="K1997" s="7">
        <v>18.75</v>
      </c>
      <c r="L1997" s="7"/>
      <c r="M1997" s="7">
        <v>16.149999999999999</v>
      </c>
      <c r="N1997" s="17"/>
      <c r="P1997" s="17"/>
      <c r="Q1997" s="7">
        <f t="shared" si="144"/>
        <v>0</v>
      </c>
      <c r="R1997" s="109"/>
      <c r="S1997" s="18"/>
      <c r="T1997" s="18"/>
      <c r="U1997" s="101"/>
      <c r="V1997" s="17"/>
      <c r="W1997" s="90" t="s">
        <v>68</v>
      </c>
      <c r="X1997" s="91" t="s">
        <v>69</v>
      </c>
      <c r="Y1997" s="92" t="s">
        <v>70</v>
      </c>
      <c r="Z1997" s="90" t="s">
        <v>68</v>
      </c>
    </row>
    <row r="1998" spans="2:26" x14ac:dyDescent="0.3">
      <c r="B1998" s="5">
        <f>B1997+50</f>
        <v>15000</v>
      </c>
      <c r="C1998" s="7">
        <v>20.350000000000001</v>
      </c>
      <c r="D1998" s="7">
        <v>10.35</v>
      </c>
      <c r="E1998" s="16"/>
      <c r="F1998" s="7">
        <f t="shared" si="143"/>
        <v>15010.35</v>
      </c>
      <c r="G1998" s="16"/>
      <c r="H1998" s="7">
        <v>15.45</v>
      </c>
      <c r="I1998" s="7">
        <v>18.2</v>
      </c>
      <c r="J1998" s="7">
        <v>20.25</v>
      </c>
      <c r="K1998" s="7">
        <v>12.65</v>
      </c>
      <c r="L1998" s="7"/>
      <c r="M1998" s="7">
        <v>10.7</v>
      </c>
      <c r="N1998" s="17"/>
      <c r="P1998" s="17"/>
      <c r="Q1998" s="5" t="s">
        <v>112</v>
      </c>
      <c r="R1998" s="7">
        <f>SUM(Q1994:Q1997)</f>
        <v>0</v>
      </c>
      <c r="S1998" s="5">
        <f>SUM(S1994:S1997)</f>
        <v>0</v>
      </c>
      <c r="T1998" s="5" t="e">
        <f>(R1998/S1998)*2</f>
        <v>#DIV/0!</v>
      </c>
      <c r="U1998" s="100"/>
      <c r="V1998" s="17"/>
      <c r="W1998" s="66">
        <v>0.41597222222222219</v>
      </c>
      <c r="X1998" s="7">
        <v>59.25</v>
      </c>
      <c r="Y1998" s="7">
        <v>75.400000000000006</v>
      </c>
      <c r="Z1998" s="66">
        <v>0.41597222222222219</v>
      </c>
    </row>
    <row r="1999" spans="2:26" x14ac:dyDescent="0.3">
      <c r="B1999" s="17"/>
      <c r="C1999" s="17"/>
      <c r="D1999" s="16"/>
      <c r="E1999" s="16">
        <f>F1999-(G1999-F1999)</f>
        <v>57.425000000000011</v>
      </c>
      <c r="F1999" s="16">
        <f>AVERAGE(C1994,C2006)</f>
        <v>77.125</v>
      </c>
      <c r="G1999" s="16">
        <f>AVERAGE(C1993,C2005)</f>
        <v>96.824999999999989</v>
      </c>
      <c r="H1999" s="101"/>
      <c r="I1999" s="101"/>
      <c r="J1999" s="101"/>
      <c r="K1999" s="101"/>
      <c r="L1999" s="101"/>
      <c r="M1999" s="101"/>
      <c r="N1999" s="17"/>
      <c r="P1999" s="17"/>
      <c r="Q1999" s="17"/>
      <c r="R1999" s="17"/>
      <c r="S1999" s="17"/>
      <c r="T1999" s="17"/>
      <c r="U1999" s="17"/>
      <c r="V1999" s="16"/>
      <c r="W1999" s="66">
        <v>0.4368055555555555</v>
      </c>
      <c r="X1999" s="7">
        <v>51.2</v>
      </c>
      <c r="Y1999" s="7">
        <v>76</v>
      </c>
      <c r="Z1999" s="66">
        <v>0.4368055555555555</v>
      </c>
    </row>
    <row r="2000" spans="2:26" x14ac:dyDescent="0.3">
      <c r="B2000" s="17"/>
      <c r="C2000" s="95">
        <v>44294</v>
      </c>
      <c r="D2000" s="17"/>
      <c r="F2000" s="16"/>
      <c r="H2000" s="66">
        <v>0.4284722222222222</v>
      </c>
      <c r="I2000" s="66">
        <v>0.4381944444444445</v>
      </c>
      <c r="J2000" s="66">
        <v>0.4465277777777778</v>
      </c>
      <c r="K2000" s="66">
        <v>0.52569444444444446</v>
      </c>
      <c r="L2000" s="66"/>
      <c r="M2000" s="66">
        <v>0.13541666666666666</v>
      </c>
      <c r="P2000" s="17"/>
      <c r="Q2000" s="7">
        <f>(T2000-S2000)*R2000</f>
        <v>-3990</v>
      </c>
      <c r="R2000" s="109">
        <v>150</v>
      </c>
      <c r="S2000" s="7">
        <v>85.95</v>
      </c>
      <c r="T2000" s="7">
        <v>59.35</v>
      </c>
      <c r="U2000" s="70"/>
      <c r="V2000" s="17"/>
      <c r="W2000" s="66">
        <v>0.45763888888888887</v>
      </c>
      <c r="X2000" s="7">
        <v>58.1</v>
      </c>
      <c r="Y2000" s="7">
        <v>63.8</v>
      </c>
      <c r="Z2000" s="66">
        <v>0.45763888888888887</v>
      </c>
    </row>
    <row r="2001" spans="2:26" x14ac:dyDescent="0.3">
      <c r="B2001" s="90" t="s">
        <v>68</v>
      </c>
      <c r="C2001" s="66">
        <v>0.41666666666666669</v>
      </c>
      <c r="D2001" s="66">
        <v>0.40416666666666662</v>
      </c>
      <c r="E2001" s="16">
        <f>F2001-(G2001-F2001)</f>
        <v>64.22499999999998</v>
      </c>
      <c r="F2001" s="16">
        <f>AVERAGE(C2005,C1994)</f>
        <v>85.324999999999989</v>
      </c>
      <c r="G2001" s="16">
        <f>AVERAGE(C2004,C1993)</f>
        <v>106.425</v>
      </c>
      <c r="H2001" s="23">
        <v>85.3</v>
      </c>
      <c r="I2001" s="23">
        <v>130</v>
      </c>
      <c r="J2001" s="23">
        <v>64.2</v>
      </c>
      <c r="K2001" s="23">
        <v>152.94999999999999</v>
      </c>
      <c r="L2001" s="7"/>
      <c r="M2001" s="7">
        <v>14743.45</v>
      </c>
      <c r="P2001" s="17"/>
      <c r="Q2001" s="7">
        <f t="shared" ref="Q2001:Q2003" si="145">(T2001-S2001)*R2001</f>
        <v>0</v>
      </c>
      <c r="R2001" s="109"/>
      <c r="S2001" s="18"/>
      <c r="T2001" s="18"/>
      <c r="U2001" s="101"/>
      <c r="V2001" s="17"/>
      <c r="W2001" s="66">
        <v>0.47847222222222219</v>
      </c>
      <c r="X2001" s="7">
        <v>66.55</v>
      </c>
      <c r="Y2001" s="7">
        <v>53.7</v>
      </c>
      <c r="Z2001" s="66">
        <v>0.47847222222222219</v>
      </c>
    </row>
    <row r="2002" spans="2:26" x14ac:dyDescent="0.3">
      <c r="B2002" s="5">
        <f>B2003+50</f>
        <v>14800</v>
      </c>
      <c r="C2002" s="7">
        <v>160.25</v>
      </c>
      <c r="D2002" s="7">
        <v>142.4</v>
      </c>
      <c r="E2002" s="16"/>
      <c r="F2002" s="7">
        <f t="shared" ref="F2002:F2007" si="146">B2002-D2002</f>
        <v>14657.6</v>
      </c>
      <c r="G2002" s="16"/>
      <c r="H2002" s="7">
        <v>183.2</v>
      </c>
      <c r="I2002" s="7">
        <v>158.19999999999999</v>
      </c>
      <c r="J2002" s="7">
        <v>147.15</v>
      </c>
      <c r="K2002" s="7">
        <v>180.25</v>
      </c>
      <c r="L2002" s="7"/>
      <c r="M2002" s="7">
        <v>159.80000000000001</v>
      </c>
      <c r="N2002" s="17"/>
      <c r="P2002" s="17"/>
      <c r="Q2002" s="7">
        <f t="shared" si="145"/>
        <v>0</v>
      </c>
      <c r="R2002" s="109"/>
      <c r="S2002" s="18"/>
      <c r="T2002" s="18"/>
      <c r="U2002" s="101"/>
      <c r="V2002" s="16"/>
      <c r="W2002" s="66">
        <v>0.4993055555555555</v>
      </c>
      <c r="X2002" s="7">
        <v>56.75</v>
      </c>
      <c r="Y2002" s="7">
        <v>60.85</v>
      </c>
      <c r="Z2002" s="66">
        <v>0.4993055555555555</v>
      </c>
    </row>
    <row r="2003" spans="2:26" x14ac:dyDescent="0.3">
      <c r="B2003" s="5">
        <f>B2004+50</f>
        <v>14750</v>
      </c>
      <c r="C2003" s="7">
        <v>133.9</v>
      </c>
      <c r="D2003" s="7">
        <v>118.65</v>
      </c>
      <c r="E2003" s="16"/>
      <c r="F2003" s="7">
        <f t="shared" si="146"/>
        <v>14631.35</v>
      </c>
      <c r="G2003" s="17"/>
      <c r="H2003" s="7">
        <v>152.94999999999999</v>
      </c>
      <c r="I2003" s="7">
        <v>130.55000000000001</v>
      </c>
      <c r="J2003" s="7">
        <v>121</v>
      </c>
      <c r="K2003" s="7">
        <v>149.9</v>
      </c>
      <c r="L2003" s="7"/>
      <c r="M2003" s="7">
        <v>129</v>
      </c>
      <c r="N2003" s="17"/>
      <c r="P2003" s="17"/>
      <c r="Q2003" s="7">
        <f t="shared" si="145"/>
        <v>0</v>
      </c>
      <c r="R2003" s="109"/>
      <c r="S2003" s="18"/>
      <c r="T2003" s="18"/>
      <c r="U2003" s="101"/>
      <c r="V2003" s="16"/>
      <c r="W2003" s="66">
        <v>0.52013888888888882</v>
      </c>
      <c r="X2003" s="7">
        <v>51.6</v>
      </c>
      <c r="Y2003" s="7">
        <v>65.150000000000006</v>
      </c>
      <c r="Z2003" s="66">
        <v>0.52013888888888882</v>
      </c>
    </row>
    <row r="2004" spans="2:26" x14ac:dyDescent="0.3">
      <c r="B2004" s="97">
        <v>14700</v>
      </c>
      <c r="C2004" s="7">
        <v>111</v>
      </c>
      <c r="D2004" s="7">
        <v>98.5</v>
      </c>
      <c r="E2004" s="16"/>
      <c r="F2004" s="7">
        <f t="shared" si="146"/>
        <v>14601.5</v>
      </c>
      <c r="G2004" s="17"/>
      <c r="H2004" s="7">
        <v>127.85</v>
      </c>
      <c r="I2004" s="7">
        <v>107.5</v>
      </c>
      <c r="J2004" s="7">
        <v>99.2</v>
      </c>
      <c r="K2004" s="7">
        <v>123.9</v>
      </c>
      <c r="L2004" s="7"/>
      <c r="M2004" s="7">
        <v>103.95</v>
      </c>
      <c r="N2004" s="17"/>
      <c r="P2004" s="17"/>
      <c r="Q2004" s="5" t="s">
        <v>112</v>
      </c>
      <c r="R2004" s="7">
        <f>SUM(Q2000:Q2003)</f>
        <v>-3990</v>
      </c>
      <c r="S2004" s="5">
        <f>SUM(S2000:S2003)</f>
        <v>85.95</v>
      </c>
      <c r="T2004" s="5">
        <f>(R2004/S2004)*2</f>
        <v>-92.844677137870846</v>
      </c>
      <c r="U2004" s="100"/>
      <c r="V2004" s="17"/>
      <c r="W2004" s="66">
        <v>0.54097222222222219</v>
      </c>
      <c r="X2004" s="7">
        <v>37.4</v>
      </c>
      <c r="Y2004" s="7">
        <v>83</v>
      </c>
      <c r="Z2004" s="66">
        <v>0.54097222222222219</v>
      </c>
    </row>
    <row r="2005" spans="2:26" x14ac:dyDescent="0.3">
      <c r="B2005" s="14">
        <f>B2004-50</f>
        <v>14650</v>
      </c>
      <c r="C2005" s="7">
        <v>91.8</v>
      </c>
      <c r="D2005" s="23">
        <v>80.7</v>
      </c>
      <c r="E2005" s="16"/>
      <c r="F2005" s="98">
        <f t="shared" si="146"/>
        <v>14569.3</v>
      </c>
      <c r="G2005" s="17"/>
      <c r="H2005" s="7">
        <v>105.55</v>
      </c>
      <c r="I2005" s="7">
        <v>87.65</v>
      </c>
      <c r="J2005" s="7">
        <v>80.349999999999994</v>
      </c>
      <c r="K2005" s="7">
        <v>102.45</v>
      </c>
      <c r="L2005" s="7"/>
      <c r="M2005" s="7">
        <v>82.4</v>
      </c>
      <c r="N2005" s="17"/>
      <c r="P2005" s="17"/>
      <c r="Q2005" s="17"/>
      <c r="R2005" s="17"/>
      <c r="S2005" s="17"/>
      <c r="T2005" s="17"/>
      <c r="U2005" s="17"/>
      <c r="V2005" s="17"/>
      <c r="W2005" s="66">
        <v>6.1805555555555558E-2</v>
      </c>
      <c r="X2005" s="7">
        <v>34.6</v>
      </c>
      <c r="Y2005" s="7">
        <v>85.5</v>
      </c>
      <c r="Z2005" s="66">
        <v>6.1805555555555558E-2</v>
      </c>
    </row>
    <row r="2006" spans="2:26" x14ac:dyDescent="0.3">
      <c r="B2006" s="99">
        <f>B2005-50</f>
        <v>14600</v>
      </c>
      <c r="C2006" s="51">
        <v>75.400000000000006</v>
      </c>
      <c r="D2006" s="7">
        <v>66.599999999999994</v>
      </c>
      <c r="E2006" s="16"/>
      <c r="F2006" s="7">
        <f t="shared" si="146"/>
        <v>14533.4</v>
      </c>
      <c r="G2006" s="16">
        <f>MIN(AVERAGE(G2007,H2003),G1993)</f>
        <v>130</v>
      </c>
      <c r="H2006" s="7">
        <v>85.95</v>
      </c>
      <c r="I2006" s="7">
        <v>71</v>
      </c>
      <c r="J2006" s="7">
        <v>64.7</v>
      </c>
      <c r="K2006" s="7">
        <v>82.6</v>
      </c>
      <c r="L2006" s="7"/>
      <c r="M2006" s="7">
        <v>64.599999999999994</v>
      </c>
      <c r="N2006" s="17"/>
      <c r="P2006" s="17"/>
      <c r="Q2006" s="17"/>
      <c r="R2006" s="17"/>
      <c r="S2006" s="17"/>
      <c r="T2006" s="17"/>
      <c r="U2006" s="17"/>
      <c r="V2006" s="17"/>
      <c r="W2006" s="66">
        <v>8.2638888888888887E-2</v>
      </c>
      <c r="X2006" s="7">
        <v>31.85</v>
      </c>
      <c r="Y2006" s="7">
        <v>88.7</v>
      </c>
      <c r="Z2006" s="66">
        <v>8.2638888888888887E-2</v>
      </c>
    </row>
    <row r="2007" spans="2:26" x14ac:dyDescent="0.3">
      <c r="B2007" s="5">
        <f>B2006-50</f>
        <v>14550</v>
      </c>
      <c r="C2007" s="7">
        <v>62.05</v>
      </c>
      <c r="D2007" s="7">
        <v>54.7</v>
      </c>
      <c r="E2007" s="16"/>
      <c r="F2007" s="7">
        <f t="shared" si="146"/>
        <v>14495.3</v>
      </c>
      <c r="G2007" s="16">
        <f>AVERAGE(H2003:H2006)</f>
        <v>118.07499999999999</v>
      </c>
      <c r="H2007" s="7">
        <v>70.3</v>
      </c>
      <c r="I2007" s="7">
        <v>57.4</v>
      </c>
      <c r="J2007" s="7">
        <v>51.35</v>
      </c>
      <c r="K2007" s="7">
        <v>67.2</v>
      </c>
      <c r="L2007" s="7"/>
      <c r="M2007" s="7">
        <v>50</v>
      </c>
      <c r="N2007" s="17"/>
      <c r="P2007" s="98">
        <f>SUM(R1998,R2004)</f>
        <v>-3990</v>
      </c>
      <c r="Q2007" s="92" t="s">
        <v>72</v>
      </c>
      <c r="R2007" s="17"/>
      <c r="S2007" s="92" t="s">
        <v>73</v>
      </c>
      <c r="T2007" s="7">
        <f>((X1999+Y1999)-(X2007+Y2007))</f>
        <v>-8.0499999999999972</v>
      </c>
      <c r="U2007" s="7"/>
      <c r="V2007" s="98">
        <f>T2007*M1988</f>
        <v>-1811.2499999999993</v>
      </c>
      <c r="W2007" s="66">
        <v>0.4465277777777778</v>
      </c>
      <c r="X2007" s="7">
        <v>59.25</v>
      </c>
      <c r="Y2007" s="23">
        <v>76</v>
      </c>
      <c r="Z2007" s="66">
        <v>0.4368055555555555</v>
      </c>
    </row>
    <row r="2019" spans="2:26" x14ac:dyDescent="0.3">
      <c r="B2019" s="40"/>
      <c r="C2019" s="50">
        <f>AVERAGE(B2020,D2019)</f>
        <v>14869.5</v>
      </c>
      <c r="D2019" s="51">
        <f>B2020+E2020</f>
        <v>14914.5</v>
      </c>
      <c r="E2019" s="50">
        <f>AVERAGE(D2019,F2019)</f>
        <v>14959.5</v>
      </c>
      <c r="F2019" s="50">
        <f>D2019+E2020</f>
        <v>15004.5</v>
      </c>
      <c r="G2019" s="17"/>
      <c r="H2019" s="88" t="str">
        <f>IF((C2028-D2028)&gt;(C2037-D2037),"LONG",IF(C2037&gt;D2035,"LONG","SHORT"))</f>
        <v>LONG</v>
      </c>
      <c r="I2019" s="104">
        <v>14701</v>
      </c>
      <c r="J2019" s="105" t="s">
        <v>122</v>
      </c>
      <c r="K2019" s="106">
        <v>14834</v>
      </c>
      <c r="L2019" s="17"/>
      <c r="M2019" s="94">
        <f>(225000)/4</f>
        <v>56250</v>
      </c>
      <c r="N2019" s="17"/>
      <c r="P2019" s="16"/>
      <c r="Q2019" s="149" t="s">
        <v>71</v>
      </c>
      <c r="R2019" s="149"/>
      <c r="S2019" s="149" t="s">
        <v>37</v>
      </c>
      <c r="T2019" s="149"/>
      <c r="U2019" s="89"/>
      <c r="V2019" s="17"/>
      <c r="W2019" s="90" t="s">
        <v>68</v>
      </c>
      <c r="X2019" s="91" t="s">
        <v>69</v>
      </c>
      <c r="Y2019" s="92" t="s">
        <v>70</v>
      </c>
      <c r="Z2019" s="90" t="s">
        <v>68</v>
      </c>
    </row>
    <row r="2020" spans="2:26" x14ac:dyDescent="0.3">
      <c r="B2020" s="50">
        <v>14824.5</v>
      </c>
      <c r="C2020" s="40"/>
      <c r="D2020" s="58"/>
      <c r="E2020" s="59">
        <f>ROUND((((B2020*F2020%)/4)/10),0)*10</f>
        <v>90</v>
      </c>
      <c r="F2020" s="51">
        <f>(100/B2020)*(F2029-F2038)</f>
        <v>2.2972106985058471</v>
      </c>
      <c r="G2020" s="17"/>
      <c r="H2020" s="93">
        <v>0.39166666666666666</v>
      </c>
      <c r="I2020" s="93">
        <v>0.39861111111111108</v>
      </c>
      <c r="J2020" s="93">
        <v>0.4055555555555555</v>
      </c>
      <c r="K2020" s="93">
        <v>0.41250000000000003</v>
      </c>
      <c r="L2020" s="17"/>
      <c r="N2020" s="17"/>
      <c r="P2020" s="16"/>
      <c r="Q2020" s="51">
        <f>R2020-(S2020-R2020)</f>
        <v>14056.45</v>
      </c>
      <c r="R2020" s="51">
        <v>14512.1</v>
      </c>
      <c r="S2020" s="51">
        <v>14967.75</v>
      </c>
      <c r="T2020" s="51">
        <f>S2020+(S2020-R2020)</f>
        <v>15423.4</v>
      </c>
      <c r="U2020" s="62"/>
      <c r="V2020" s="17"/>
      <c r="W2020" s="66">
        <v>0.41597222222222219</v>
      </c>
      <c r="X2020" s="7">
        <v>103.35</v>
      </c>
      <c r="Y2020" s="7">
        <v>113.8</v>
      </c>
      <c r="Z2020" s="66">
        <v>0.41597222222222219</v>
      </c>
    </row>
    <row r="2021" spans="2:26" x14ac:dyDescent="0.3">
      <c r="B2021" s="40"/>
      <c r="C2021" s="50">
        <f>AVERAGE(B2020,D2021)</f>
        <v>14779.5</v>
      </c>
      <c r="D2021" s="51">
        <f>B2020-E2020</f>
        <v>14734.5</v>
      </c>
      <c r="E2021" s="50">
        <f>AVERAGE(D2021,F2021)</f>
        <v>14689.5</v>
      </c>
      <c r="F2021" s="50">
        <f>D2021-E2020</f>
        <v>14644.5</v>
      </c>
      <c r="G2021" s="17"/>
      <c r="H2021" s="51">
        <v>14786</v>
      </c>
      <c r="I2021" s="51">
        <v>14793.25</v>
      </c>
      <c r="J2021" s="51">
        <v>14825.25</v>
      </c>
      <c r="K2021" s="51">
        <v>14827.75</v>
      </c>
      <c r="L2021" s="17"/>
      <c r="M2021" s="94">
        <f>ROUND((M2019/AVERAGE(F2032,F2034))/225,0)*75</f>
        <v>300</v>
      </c>
      <c r="N2021" s="17"/>
      <c r="P2021" s="16"/>
      <c r="Q2021" s="17"/>
      <c r="R2021" s="17"/>
      <c r="S2021" s="17"/>
      <c r="T2021" s="16"/>
      <c r="U2021" s="16"/>
      <c r="V2021" s="17"/>
      <c r="W2021" s="66">
        <v>0.4368055555555555</v>
      </c>
      <c r="X2021" s="7">
        <v>105.05</v>
      </c>
      <c r="Y2021" s="7">
        <v>99.85</v>
      </c>
      <c r="Z2021" s="66">
        <v>0.4368055555555555</v>
      </c>
    </row>
    <row r="2022" spans="2:26" x14ac:dyDescent="0.3">
      <c r="B2022" s="17"/>
      <c r="C2022" s="17"/>
      <c r="D2022" s="17"/>
      <c r="E2022" s="17"/>
      <c r="F2022" s="16"/>
      <c r="G2022" s="16"/>
      <c r="H2022" s="17"/>
      <c r="I2022" s="17"/>
      <c r="J2022" s="17"/>
      <c r="K2022" s="16"/>
      <c r="L2022" s="17"/>
      <c r="M2022" s="17"/>
      <c r="N2022" s="17"/>
      <c r="P2022" s="16"/>
      <c r="Q2022" s="17"/>
      <c r="R2022" s="17"/>
      <c r="S2022" s="17"/>
      <c r="T2022" s="17"/>
      <c r="U2022" s="17"/>
      <c r="V2022" s="17"/>
      <c r="W2022" s="66">
        <v>0.45763888888888887</v>
      </c>
      <c r="X2022" s="7">
        <v>134.35</v>
      </c>
      <c r="Y2022" s="7">
        <v>70.099999999999994</v>
      </c>
      <c r="Z2022" s="66">
        <v>0.45763888888888887</v>
      </c>
    </row>
    <row r="2023" spans="2:26" x14ac:dyDescent="0.3">
      <c r="B2023" s="16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P2023" s="16"/>
      <c r="Q2023" s="17"/>
      <c r="R2023" s="17"/>
      <c r="S2023" s="17"/>
      <c r="T2023" s="17"/>
      <c r="U2023" s="17"/>
      <c r="V2023" s="17"/>
      <c r="W2023" s="66">
        <v>0.47847222222222219</v>
      </c>
      <c r="X2023" s="7">
        <v>149.25</v>
      </c>
      <c r="Y2023" s="7">
        <v>61.3</v>
      </c>
      <c r="Z2023" s="66">
        <v>0.47847222222222219</v>
      </c>
    </row>
    <row r="2024" spans="2:26" x14ac:dyDescent="0.3">
      <c r="B2024" s="17"/>
      <c r="C2024" s="95">
        <v>44293</v>
      </c>
      <c r="D2024" s="17"/>
      <c r="E2024" s="17"/>
      <c r="F2024" s="7">
        <f>AVERAGE(F2026,F2035)</f>
        <v>14784.15</v>
      </c>
      <c r="G2024" s="96"/>
      <c r="H2024" s="66">
        <v>0.45902777777777781</v>
      </c>
      <c r="I2024" s="66">
        <v>6.9444444444444434E-2</v>
      </c>
      <c r="J2024" s="66">
        <v>7.013888888888889E-2</v>
      </c>
      <c r="K2024" s="66"/>
      <c r="L2024" s="66"/>
      <c r="M2024" s="66">
        <v>0.13541666666666666</v>
      </c>
      <c r="N2024" s="17"/>
      <c r="P2024" s="16"/>
      <c r="Q2024" s="17"/>
      <c r="R2024" s="17"/>
      <c r="S2024" s="17"/>
      <c r="T2024" s="17"/>
      <c r="U2024" s="17"/>
      <c r="V2024" s="17"/>
      <c r="W2024" s="66">
        <v>0.4993055555555555</v>
      </c>
      <c r="X2024" s="7">
        <v>133.5</v>
      </c>
      <c r="Y2024" s="7">
        <v>70.349999999999994</v>
      </c>
      <c r="Z2024" s="66">
        <v>0.4993055555555555</v>
      </c>
    </row>
    <row r="2025" spans="2:26" x14ac:dyDescent="0.3">
      <c r="B2025" s="90" t="s">
        <v>68</v>
      </c>
      <c r="C2025" s="66">
        <v>0.41666666666666669</v>
      </c>
      <c r="D2025" s="66">
        <v>0.38611111111111113</v>
      </c>
      <c r="E2025" s="17"/>
      <c r="F2025" s="17"/>
      <c r="G2025" s="16"/>
      <c r="H2025" s="23">
        <v>56.25</v>
      </c>
      <c r="I2025" s="23">
        <v>38</v>
      </c>
      <c r="J2025" s="23">
        <v>94</v>
      </c>
      <c r="K2025" s="7"/>
      <c r="L2025" s="7"/>
      <c r="M2025" s="7">
        <v>14888.9</v>
      </c>
      <c r="N2025" s="17"/>
      <c r="P2025" s="17"/>
      <c r="Q2025" s="145" t="s">
        <v>72</v>
      </c>
      <c r="R2025" s="145"/>
      <c r="S2025" s="145"/>
      <c r="T2025" s="145"/>
      <c r="U2025" s="83"/>
      <c r="V2025" s="17"/>
      <c r="W2025" s="66">
        <v>0.52013888888888882</v>
      </c>
      <c r="X2025" s="7">
        <v>144</v>
      </c>
      <c r="Y2025" s="7">
        <v>59.35</v>
      </c>
      <c r="Z2025" s="66">
        <v>0.52013888888888882</v>
      </c>
    </row>
    <row r="2026" spans="2:26" x14ac:dyDescent="0.3">
      <c r="B2026" s="5">
        <f>B2027-50</f>
        <v>14800</v>
      </c>
      <c r="C2026" s="7">
        <v>76.05</v>
      </c>
      <c r="D2026" s="7">
        <v>58</v>
      </c>
      <c r="E2026" s="16"/>
      <c r="F2026" s="7">
        <f t="shared" ref="F2026:F2031" si="147">B2026+D2026</f>
        <v>14858</v>
      </c>
      <c r="G2026" s="40">
        <f>MIN(AVERAGE(G2027,H2026),G2040)</f>
        <v>103.67500000000001</v>
      </c>
      <c r="H2026" s="7">
        <v>141.55000000000001</v>
      </c>
      <c r="I2026" s="7">
        <v>107.3</v>
      </c>
      <c r="J2026" s="7">
        <v>96.6</v>
      </c>
      <c r="K2026" s="7"/>
      <c r="L2026" s="7"/>
      <c r="M2026" s="7">
        <v>113.95</v>
      </c>
      <c r="N2026" s="17"/>
      <c r="P2026" s="17"/>
      <c r="Q2026" s="34"/>
      <c r="R2026" s="34" t="s">
        <v>111</v>
      </c>
      <c r="S2026" s="34" t="s">
        <v>2</v>
      </c>
      <c r="T2026" s="34" t="s">
        <v>1</v>
      </c>
      <c r="U2026" s="84"/>
      <c r="V2026" s="17"/>
      <c r="W2026" s="66">
        <v>0.54097222222222219</v>
      </c>
      <c r="X2026" s="7">
        <v>149.4</v>
      </c>
      <c r="Y2026" s="7">
        <v>53.5</v>
      </c>
      <c r="Z2026" s="66">
        <v>0.54097222222222219</v>
      </c>
    </row>
    <row r="2027" spans="2:26" x14ac:dyDescent="0.3">
      <c r="B2027" s="5">
        <f>B2028-50</f>
        <v>14850</v>
      </c>
      <c r="C2027" s="7">
        <v>54.05</v>
      </c>
      <c r="D2027" s="7">
        <v>40.85</v>
      </c>
      <c r="E2027" s="16"/>
      <c r="F2027" s="7">
        <f t="shared" si="147"/>
        <v>14890.85</v>
      </c>
      <c r="G2027" s="16">
        <f>AVERAGE(H2026:H2029)</f>
        <v>94.025000000000006</v>
      </c>
      <c r="H2027" s="7">
        <v>106.4</v>
      </c>
      <c r="I2027" s="7">
        <v>77.95</v>
      </c>
      <c r="J2027" s="7">
        <v>68.95</v>
      </c>
      <c r="K2027" s="7"/>
      <c r="L2027" s="7"/>
      <c r="M2027" s="7">
        <v>79.349999999999994</v>
      </c>
      <c r="P2027" s="17"/>
      <c r="Q2027" s="7">
        <f>(T2027-S2027)*R2027</f>
        <v>-2069.9999999999995</v>
      </c>
      <c r="R2027" s="109">
        <v>150</v>
      </c>
      <c r="S2027" s="7">
        <v>51.8</v>
      </c>
      <c r="T2027" s="7">
        <v>38</v>
      </c>
      <c r="U2027" s="70"/>
      <c r="V2027" s="17"/>
      <c r="W2027" s="66">
        <v>6.1805555555555558E-2</v>
      </c>
      <c r="X2027" s="7">
        <v>124.55</v>
      </c>
      <c r="Y2027" s="7">
        <v>69.849999999999994</v>
      </c>
      <c r="Z2027" s="66">
        <v>6.1805555555555558E-2</v>
      </c>
    </row>
    <row r="2028" spans="2:26" x14ac:dyDescent="0.3">
      <c r="B2028" s="97">
        <v>14900</v>
      </c>
      <c r="C2028" s="51">
        <v>36.75</v>
      </c>
      <c r="D2028" s="7">
        <v>28.05</v>
      </c>
      <c r="E2028" s="16"/>
      <c r="F2028" s="7">
        <f t="shared" si="147"/>
        <v>14928.05</v>
      </c>
      <c r="G2028" s="17"/>
      <c r="H2028" s="7">
        <v>76.349999999999994</v>
      </c>
      <c r="I2028" s="7">
        <v>54</v>
      </c>
      <c r="J2028" s="7">
        <v>46.9</v>
      </c>
      <c r="K2028" s="7"/>
      <c r="L2028" s="7"/>
      <c r="M2028" s="7">
        <v>51.75</v>
      </c>
      <c r="P2028" s="17"/>
      <c r="Q2028" s="7">
        <f t="shared" ref="Q2028:Q2030" si="148">(T2028-S2028)*R2028</f>
        <v>0</v>
      </c>
      <c r="R2028" s="109"/>
      <c r="S2028" s="7"/>
      <c r="T2028" s="7"/>
      <c r="U2028" s="70"/>
      <c r="V2028" s="17"/>
      <c r="W2028" s="66">
        <v>8.2638888888888887E-2</v>
      </c>
      <c r="X2028" s="7">
        <v>127.75</v>
      </c>
      <c r="Y2028" s="7">
        <v>55.85</v>
      </c>
      <c r="Z2028" s="66">
        <v>8.2638888888888887E-2</v>
      </c>
    </row>
    <row r="2029" spans="2:26" x14ac:dyDescent="0.3">
      <c r="B2029" s="5">
        <f>B2028+50</f>
        <v>14950</v>
      </c>
      <c r="C2029" s="51">
        <v>23.85</v>
      </c>
      <c r="D2029" s="7">
        <v>18.649999999999999</v>
      </c>
      <c r="E2029" s="16"/>
      <c r="F2029" s="98">
        <f t="shared" si="147"/>
        <v>14968.65</v>
      </c>
      <c r="G2029" s="17"/>
      <c r="H2029" s="7">
        <v>51.8</v>
      </c>
      <c r="I2029" s="7">
        <v>34.85</v>
      </c>
      <c r="J2029" s="7">
        <v>29.9</v>
      </c>
      <c r="K2029" s="7"/>
      <c r="L2029" s="7"/>
      <c r="M2029" s="7">
        <v>30.65</v>
      </c>
      <c r="N2029" s="17"/>
      <c r="P2029" s="17"/>
      <c r="Q2029" s="7">
        <f t="shared" si="148"/>
        <v>0</v>
      </c>
      <c r="R2029" s="109"/>
      <c r="S2029" s="18"/>
      <c r="T2029" s="18"/>
      <c r="U2029" s="101"/>
      <c r="V2029" s="17"/>
      <c r="W2029" s="17"/>
      <c r="X2029" s="17"/>
      <c r="Y2029" s="17"/>
      <c r="Z2029" s="17"/>
    </row>
    <row r="2030" spans="2:26" x14ac:dyDescent="0.3">
      <c r="B2030" s="99">
        <f>B2029+50</f>
        <v>15000</v>
      </c>
      <c r="C2030" s="7">
        <v>14.95</v>
      </c>
      <c r="D2030" s="7">
        <v>11.9</v>
      </c>
      <c r="E2030" s="16"/>
      <c r="F2030" s="7">
        <f t="shared" si="147"/>
        <v>15011.9</v>
      </c>
      <c r="G2030" s="17"/>
      <c r="H2030" s="7">
        <v>32.65</v>
      </c>
      <c r="I2030" s="7">
        <v>21.25</v>
      </c>
      <c r="J2030" s="7">
        <v>18</v>
      </c>
      <c r="K2030" s="7"/>
      <c r="L2030" s="7"/>
      <c r="M2030" s="7">
        <v>17.350000000000001</v>
      </c>
      <c r="N2030" s="17"/>
      <c r="P2030" s="17"/>
      <c r="Q2030" s="7">
        <f t="shared" si="148"/>
        <v>0</v>
      </c>
      <c r="R2030" s="109"/>
      <c r="S2030" s="18"/>
      <c r="T2030" s="18"/>
      <c r="U2030" s="101"/>
      <c r="V2030" s="17"/>
      <c r="W2030" s="90" t="s">
        <v>68</v>
      </c>
      <c r="X2030" s="91" t="s">
        <v>69</v>
      </c>
      <c r="Y2030" s="92" t="s">
        <v>70</v>
      </c>
      <c r="Z2030" s="90" t="s">
        <v>68</v>
      </c>
    </row>
    <row r="2031" spans="2:26" x14ac:dyDescent="0.3">
      <c r="B2031" s="5">
        <f>B2030+50</f>
        <v>15050</v>
      </c>
      <c r="C2031" s="7">
        <v>9</v>
      </c>
      <c r="D2031" s="7">
        <v>7.35</v>
      </c>
      <c r="E2031" s="16"/>
      <c r="F2031" s="7">
        <f t="shared" si="147"/>
        <v>15057.35</v>
      </c>
      <c r="G2031" s="16"/>
      <c r="H2031" s="7">
        <v>18.899999999999999</v>
      </c>
      <c r="I2031" s="7">
        <v>12.4</v>
      </c>
      <c r="J2031" s="7">
        <v>10.55</v>
      </c>
      <c r="K2031" s="7"/>
      <c r="L2031" s="7"/>
      <c r="M2031" s="7">
        <v>9.3000000000000007</v>
      </c>
      <c r="N2031" s="17"/>
      <c r="P2031" s="17"/>
      <c r="Q2031" s="5" t="s">
        <v>112</v>
      </c>
      <c r="R2031" s="7">
        <f>SUM(Q2027:Q2030)</f>
        <v>-2069.9999999999995</v>
      </c>
      <c r="S2031" s="5">
        <f>SUM(S2027:S2030)</f>
        <v>51.8</v>
      </c>
      <c r="T2031" s="5">
        <f>(R2031/S2031)*2</f>
        <v>-79.92277992277991</v>
      </c>
      <c r="U2031" s="100"/>
      <c r="V2031" s="17"/>
      <c r="W2031" s="66">
        <v>0.41597222222222219</v>
      </c>
      <c r="X2031" s="7">
        <v>36.75</v>
      </c>
      <c r="Y2031" s="7">
        <v>58.45</v>
      </c>
      <c r="Z2031" s="66">
        <v>0.41597222222222219</v>
      </c>
    </row>
    <row r="2032" spans="2:26" x14ac:dyDescent="0.3">
      <c r="B2032" s="17"/>
      <c r="C2032" s="17"/>
      <c r="D2032" s="16"/>
      <c r="E2032" s="16">
        <f>F2032-(G2032-F2032)</f>
        <v>38.025000000000006</v>
      </c>
      <c r="F2032" s="16">
        <f>AVERAGE(C2027,C2039)</f>
        <v>56.25</v>
      </c>
      <c r="G2032" s="16">
        <f>AVERAGE(C2026,C2038)</f>
        <v>74.474999999999994</v>
      </c>
      <c r="H2032" s="101"/>
      <c r="I2032" s="101"/>
      <c r="J2032" s="101"/>
      <c r="K2032" s="101"/>
      <c r="L2032" s="101"/>
      <c r="M2032" s="101"/>
      <c r="N2032" s="17"/>
      <c r="P2032" s="17"/>
      <c r="Q2032" s="17"/>
      <c r="R2032" s="17"/>
      <c r="S2032" s="17"/>
      <c r="T2032" s="17"/>
      <c r="U2032" s="17"/>
      <c r="V2032" s="16"/>
      <c r="W2032" s="66">
        <v>0.4368055555555555</v>
      </c>
      <c r="X2032" s="7">
        <v>35.5</v>
      </c>
      <c r="Y2032" s="7">
        <v>48.4</v>
      </c>
      <c r="Z2032" s="66">
        <v>0.4368055555555555</v>
      </c>
    </row>
    <row r="2033" spans="2:26" x14ac:dyDescent="0.3">
      <c r="B2033" s="17"/>
      <c r="C2033" s="95">
        <v>44294</v>
      </c>
      <c r="D2033" s="17"/>
      <c r="F2033" s="16"/>
      <c r="H2033" s="66">
        <v>0.45902777777777781</v>
      </c>
      <c r="I2033" s="66">
        <v>6.9444444444444434E-2</v>
      </c>
      <c r="J2033" s="66">
        <v>7.013888888888889E-2</v>
      </c>
      <c r="K2033" s="66"/>
      <c r="L2033" s="66"/>
      <c r="M2033" s="66">
        <v>0.13541666666666666</v>
      </c>
      <c r="N2033" s="17"/>
      <c r="P2033" s="17"/>
      <c r="Q2033" s="7">
        <f>(T2033-S2033)*R2033</f>
        <v>0</v>
      </c>
      <c r="R2033" s="109"/>
      <c r="S2033" s="7"/>
      <c r="T2033" s="7"/>
      <c r="U2033" s="70"/>
      <c r="V2033" s="17"/>
      <c r="W2033" s="66">
        <v>0.45763888888888887</v>
      </c>
      <c r="X2033" s="7">
        <v>48.45</v>
      </c>
      <c r="Y2033" s="7">
        <v>32.049999999999997</v>
      </c>
      <c r="Z2033" s="66">
        <v>0.45763888888888887</v>
      </c>
    </row>
    <row r="2034" spans="2:26" x14ac:dyDescent="0.3">
      <c r="B2034" s="90" t="s">
        <v>68</v>
      </c>
      <c r="C2034" s="66">
        <v>0.41666666666666669</v>
      </c>
      <c r="D2034" s="66">
        <v>0.41250000000000003</v>
      </c>
      <c r="E2034" s="16">
        <f>F2034-(G2034-F2034)</f>
        <v>43.225000000000009</v>
      </c>
      <c r="F2034" s="16">
        <f>AVERAGE(C2038,C2027)</f>
        <v>63.475000000000001</v>
      </c>
      <c r="G2034" s="16">
        <f>AVERAGE(C2037,C2026)</f>
        <v>83.724999999999994</v>
      </c>
      <c r="H2034" s="7">
        <v>14911.9</v>
      </c>
      <c r="I2034" s="7">
        <v>14868.5</v>
      </c>
      <c r="J2034" s="7">
        <v>14850</v>
      </c>
      <c r="K2034" s="7"/>
      <c r="L2034" s="7"/>
      <c r="M2034" s="7">
        <v>14888.9</v>
      </c>
      <c r="N2034" s="17"/>
      <c r="P2034" s="17"/>
      <c r="Q2034" s="7">
        <f t="shared" ref="Q2034:Q2036" si="149">(T2034-S2034)*R2034</f>
        <v>0</v>
      </c>
      <c r="R2034" s="109"/>
      <c r="S2034" s="7"/>
      <c r="T2034" s="7"/>
      <c r="U2034" s="70"/>
      <c r="V2034" s="17"/>
      <c r="W2034" s="66">
        <v>0.47847222222222219</v>
      </c>
      <c r="X2034" s="7">
        <v>56.85</v>
      </c>
      <c r="Y2034" s="7">
        <v>28.15</v>
      </c>
      <c r="Z2034" s="66">
        <v>0.47847222222222219</v>
      </c>
    </row>
    <row r="2035" spans="2:26" x14ac:dyDescent="0.3">
      <c r="B2035" s="5">
        <f>B2036+50</f>
        <v>14850</v>
      </c>
      <c r="C2035" s="7">
        <v>141.44999999999999</v>
      </c>
      <c r="D2035" s="7">
        <v>139.69999999999999</v>
      </c>
      <c r="E2035" s="16"/>
      <c r="F2035" s="7">
        <f t="shared" ref="F2035:F2040" si="150">B2035-D2035</f>
        <v>14710.3</v>
      </c>
      <c r="G2035" s="16"/>
      <c r="H2035" s="7">
        <v>85.85</v>
      </c>
      <c r="I2035" s="7">
        <v>105.8</v>
      </c>
      <c r="J2035" s="7">
        <v>113.65</v>
      </c>
      <c r="K2035" s="7"/>
      <c r="L2035" s="7"/>
      <c r="M2035" s="7">
        <v>77.75</v>
      </c>
      <c r="N2035" s="17"/>
      <c r="P2035" s="17"/>
      <c r="Q2035" s="7">
        <f t="shared" si="149"/>
        <v>0</v>
      </c>
      <c r="R2035" s="109"/>
      <c r="S2035" s="18"/>
      <c r="T2035" s="18"/>
      <c r="U2035" s="101"/>
      <c r="V2035" s="16"/>
      <c r="W2035" s="66">
        <v>0.4993055555555555</v>
      </c>
      <c r="X2035" s="7">
        <v>47.65</v>
      </c>
      <c r="Y2035" s="7">
        <v>31.8</v>
      </c>
      <c r="Z2035" s="66">
        <v>0.4993055555555555</v>
      </c>
    </row>
    <row r="2036" spans="2:26" x14ac:dyDescent="0.3">
      <c r="B2036" s="5">
        <f>B2037+50</f>
        <v>14800</v>
      </c>
      <c r="C2036" s="7">
        <v>113.8</v>
      </c>
      <c r="D2036" s="7">
        <v>111.75</v>
      </c>
      <c r="E2036" s="16"/>
      <c r="F2036" s="7">
        <f t="shared" si="150"/>
        <v>14688.25</v>
      </c>
      <c r="G2036" s="17"/>
      <c r="H2036" s="7">
        <v>65.8</v>
      </c>
      <c r="I2036" s="7">
        <v>79.5</v>
      </c>
      <c r="J2036" s="7">
        <v>86.2</v>
      </c>
      <c r="K2036" s="7"/>
      <c r="L2036" s="7"/>
      <c r="M2036" s="7">
        <v>55.7</v>
      </c>
      <c r="N2036" s="17"/>
      <c r="P2036" s="17"/>
      <c r="Q2036" s="7">
        <f t="shared" si="149"/>
        <v>0</v>
      </c>
      <c r="R2036" s="109"/>
      <c r="S2036" s="18"/>
      <c r="T2036" s="18"/>
      <c r="U2036" s="101"/>
      <c r="V2036" s="16"/>
      <c r="W2036" s="66">
        <v>0.52013888888888882</v>
      </c>
      <c r="X2036" s="7">
        <v>52.5</v>
      </c>
      <c r="Y2036" s="7">
        <v>26.65</v>
      </c>
      <c r="Z2036" s="66">
        <v>0.52013888888888882</v>
      </c>
    </row>
    <row r="2037" spans="2:26" x14ac:dyDescent="0.3">
      <c r="B2037" s="97">
        <v>14750</v>
      </c>
      <c r="C2037" s="7">
        <v>91.4</v>
      </c>
      <c r="D2037" s="7">
        <v>89.75</v>
      </c>
      <c r="E2037" s="16"/>
      <c r="F2037" s="7">
        <f t="shared" si="150"/>
        <v>14660.25</v>
      </c>
      <c r="G2037" s="17"/>
      <c r="H2037" s="7">
        <v>50.75</v>
      </c>
      <c r="I2037" s="7">
        <v>58.95</v>
      </c>
      <c r="J2037" s="7">
        <v>63.15</v>
      </c>
      <c r="K2037" s="7"/>
      <c r="L2037" s="7"/>
      <c r="M2037" s="7">
        <v>39.5</v>
      </c>
      <c r="N2037" s="17"/>
      <c r="P2037" s="17"/>
      <c r="Q2037" s="5" t="s">
        <v>112</v>
      </c>
      <c r="R2037" s="7">
        <f>SUM(Q2033:Q2036)</f>
        <v>0</v>
      </c>
      <c r="S2037" s="5">
        <f>SUM(S2033:S2036)</f>
        <v>0</v>
      </c>
      <c r="T2037" s="5" t="e">
        <f>(R2037/S2037)*2</f>
        <v>#DIV/0!</v>
      </c>
      <c r="U2037" s="100"/>
      <c r="V2037" s="17"/>
      <c r="W2037" s="66">
        <v>0.54097222222222219</v>
      </c>
      <c r="X2037" s="7">
        <v>55.2</v>
      </c>
      <c r="Y2037" s="7">
        <v>22.8</v>
      </c>
      <c r="Z2037" s="66">
        <v>0.54097222222222219</v>
      </c>
    </row>
    <row r="2038" spans="2:26" x14ac:dyDescent="0.3">
      <c r="B2038" s="14">
        <f>B2037-50</f>
        <v>14700</v>
      </c>
      <c r="C2038" s="7">
        <v>72.900000000000006</v>
      </c>
      <c r="D2038" s="23">
        <v>71.900000000000006</v>
      </c>
      <c r="E2038" s="16"/>
      <c r="F2038" s="98">
        <f t="shared" si="150"/>
        <v>14628.1</v>
      </c>
      <c r="G2038" s="17"/>
      <c r="H2038" s="7">
        <v>39.299999999999997</v>
      </c>
      <c r="I2038" s="7">
        <v>43.05</v>
      </c>
      <c r="J2038" s="7">
        <v>46</v>
      </c>
      <c r="K2038" s="7"/>
      <c r="L2038" s="7"/>
      <c r="M2038" s="7">
        <v>28.3</v>
      </c>
      <c r="N2038" s="17"/>
      <c r="P2038" s="17"/>
      <c r="Q2038" s="17"/>
      <c r="R2038" s="17"/>
      <c r="S2038" s="17"/>
      <c r="T2038" s="17"/>
      <c r="U2038" s="17"/>
      <c r="V2038" s="17"/>
      <c r="W2038" s="66">
        <v>6.1805555555555558E-2</v>
      </c>
      <c r="X2038" s="7">
        <v>43.1</v>
      </c>
      <c r="Y2038" s="7">
        <v>28.5</v>
      </c>
      <c r="Z2038" s="66">
        <v>6.1805555555555558E-2</v>
      </c>
    </row>
    <row r="2039" spans="2:26" x14ac:dyDescent="0.3">
      <c r="B2039" s="99">
        <f>B2038-50</f>
        <v>14650</v>
      </c>
      <c r="C2039" s="51">
        <v>58.45</v>
      </c>
      <c r="D2039" s="7">
        <v>57.6</v>
      </c>
      <c r="E2039" s="16"/>
      <c r="F2039" s="7">
        <f t="shared" si="150"/>
        <v>14592.4</v>
      </c>
      <c r="G2039" s="17"/>
      <c r="H2039" s="7">
        <v>30.65</v>
      </c>
      <c r="I2039" s="7">
        <v>31.5</v>
      </c>
      <c r="J2039" s="7">
        <v>33.35</v>
      </c>
      <c r="K2039" s="7"/>
      <c r="L2039" s="7"/>
      <c r="M2039" s="7">
        <v>20.149999999999999</v>
      </c>
      <c r="N2039" s="17"/>
      <c r="P2039" s="17"/>
      <c r="Q2039" s="17"/>
      <c r="R2039" s="17"/>
      <c r="S2039" s="17"/>
      <c r="T2039" s="17"/>
      <c r="U2039" s="17"/>
      <c r="V2039" s="17"/>
      <c r="W2039" s="66">
        <v>8.2638888888888887E-2</v>
      </c>
      <c r="X2039" s="7">
        <v>42.15</v>
      </c>
      <c r="Y2039" s="7">
        <v>21</v>
      </c>
      <c r="Z2039" s="66">
        <v>8.2638888888888887E-2</v>
      </c>
    </row>
    <row r="2040" spans="2:26" x14ac:dyDescent="0.3">
      <c r="B2040" s="5">
        <f>B2039-50</f>
        <v>14600</v>
      </c>
      <c r="C2040" s="7">
        <v>46.5</v>
      </c>
      <c r="D2040" s="7">
        <v>45.6</v>
      </c>
      <c r="E2040" s="16"/>
      <c r="F2040" s="7">
        <f t="shared" si="150"/>
        <v>14554.4</v>
      </c>
      <c r="G2040" s="40">
        <f>AVERAGE(H2036,H2026)</f>
        <v>103.67500000000001</v>
      </c>
      <c r="H2040" s="7">
        <v>24.2</v>
      </c>
      <c r="I2040" s="7">
        <v>23.15</v>
      </c>
      <c r="J2040" s="7">
        <v>24.15</v>
      </c>
      <c r="K2040" s="7"/>
      <c r="L2040" s="7"/>
      <c r="M2040" s="7">
        <v>14.45</v>
      </c>
      <c r="N2040" s="17"/>
      <c r="P2040" s="98">
        <f>SUM(R2031,R2037)</f>
        <v>-2069.9999999999995</v>
      </c>
      <c r="Q2040" s="92" t="s">
        <v>72</v>
      </c>
      <c r="R2040" s="17"/>
      <c r="S2040" s="92" t="s">
        <v>73</v>
      </c>
      <c r="T2040" s="7">
        <f>((X2032+Y2032)-(X2040+Y2040))</f>
        <v>3.4500000000000028</v>
      </c>
      <c r="U2040" s="7"/>
      <c r="V2040" s="98">
        <f>T2040*M2021</f>
        <v>1035.0000000000009</v>
      </c>
      <c r="W2040" s="66">
        <v>0.45902777777777781</v>
      </c>
      <c r="X2040" s="23">
        <v>56.25</v>
      </c>
      <c r="Y2040" s="7">
        <v>24.2</v>
      </c>
      <c r="Z2040" s="66">
        <v>0.50902777777777775</v>
      </c>
    </row>
    <row r="2050" spans="2:26" x14ac:dyDescent="0.3">
      <c r="J2050" s="40"/>
    </row>
    <row r="2051" spans="2:26" x14ac:dyDescent="0.3">
      <c r="J2051" s="40"/>
    </row>
    <row r="2052" spans="2:26" x14ac:dyDescent="0.3">
      <c r="B2052" s="40"/>
      <c r="C2052" s="50">
        <f>AVERAGE(B2053,D2052)</f>
        <v>15054</v>
      </c>
      <c r="D2052" s="51">
        <f>B2053+E2053</f>
        <v>15114</v>
      </c>
      <c r="E2052" s="50">
        <f>AVERAGE(D2052,F2052)</f>
        <v>15174</v>
      </c>
      <c r="F2052" s="50">
        <f>D2052+E2053</f>
        <v>15234</v>
      </c>
      <c r="G2052" s="17"/>
      <c r="H2052" s="88" t="str">
        <f>IF((C2061-D2061)&gt;(C2070-D2070),"LONG",IF(C2070&gt;D2068,"LONG","SHORT"))</f>
        <v>LONG</v>
      </c>
      <c r="I2052" s="104">
        <v>14925</v>
      </c>
      <c r="J2052" s="105" t="s">
        <v>122</v>
      </c>
      <c r="K2052" s="106">
        <v>15003</v>
      </c>
      <c r="L2052" s="17"/>
      <c r="M2052" s="94">
        <f>(234000)/4</f>
        <v>58500</v>
      </c>
      <c r="N2052" s="17"/>
      <c r="P2052" s="17"/>
      <c r="Q2052" s="149" t="s">
        <v>71</v>
      </c>
      <c r="R2052" s="149"/>
      <c r="S2052" s="149" t="s">
        <v>37</v>
      </c>
      <c r="T2052" s="149"/>
      <c r="U2052" s="89"/>
      <c r="V2052" s="17"/>
      <c r="W2052" s="90" t="s">
        <v>68</v>
      </c>
      <c r="X2052" s="91" t="s">
        <v>69</v>
      </c>
      <c r="Y2052" s="92" t="s">
        <v>70</v>
      </c>
      <c r="Z2052" s="90" t="s">
        <v>68</v>
      </c>
    </row>
    <row r="2053" spans="2:26" x14ac:dyDescent="0.3">
      <c r="B2053" s="50">
        <v>14994</v>
      </c>
      <c r="C2053" s="40"/>
      <c r="D2053" s="58"/>
      <c r="E2053" s="59">
        <f>ROUND((((B2053*F2053%)/4)/10),0)*10</f>
        <v>120</v>
      </c>
      <c r="F2053" s="51">
        <f>(100/B2053)*(F2062-F2071)</f>
        <v>3.108576764038939</v>
      </c>
      <c r="G2053" s="17"/>
      <c r="H2053" s="93">
        <v>0.39166666666666666</v>
      </c>
      <c r="I2053" s="93">
        <v>0.39861111111111108</v>
      </c>
      <c r="J2053" s="93">
        <v>0.4055555555555555</v>
      </c>
      <c r="K2053" s="93">
        <v>0.41250000000000003</v>
      </c>
      <c r="L2053" s="17"/>
      <c r="N2053" s="17"/>
      <c r="P2053" s="17"/>
      <c r="Q2053" s="51">
        <f>R2053-(S2053-R2053)</f>
        <v>14109.7</v>
      </c>
      <c r="R2053" s="51">
        <v>14512.1</v>
      </c>
      <c r="S2053" s="51">
        <v>14914.5</v>
      </c>
      <c r="T2053" s="51">
        <f>S2053+(S2053-R2053)</f>
        <v>15316.9</v>
      </c>
      <c r="U2053" s="62"/>
      <c r="V2053" s="17"/>
      <c r="W2053" s="66">
        <v>0.41597222222222219</v>
      </c>
      <c r="X2053" s="7">
        <v>125.35</v>
      </c>
      <c r="Y2053" s="7">
        <v>127</v>
      </c>
      <c r="Z2053" s="66">
        <v>0.41597222222222219</v>
      </c>
    </row>
    <row r="2054" spans="2:26" x14ac:dyDescent="0.3">
      <c r="B2054" s="40"/>
      <c r="C2054" s="50">
        <f>AVERAGE(B2053,D2054)</f>
        <v>14934</v>
      </c>
      <c r="D2054" s="51">
        <f>B2053-E2053</f>
        <v>14874</v>
      </c>
      <c r="E2054" s="50">
        <f>AVERAGE(D2054,F2054)</f>
        <v>14814</v>
      </c>
      <c r="F2054" s="50">
        <f>D2054-E2053</f>
        <v>14754</v>
      </c>
      <c r="G2054" s="17"/>
      <c r="H2054" s="51">
        <v>14985.2</v>
      </c>
      <c r="I2054" s="51">
        <v>14990</v>
      </c>
      <c r="J2054" s="51">
        <v>14993.95</v>
      </c>
      <c r="K2054" s="51">
        <v>14983</v>
      </c>
      <c r="L2054" s="17"/>
      <c r="M2054" s="94">
        <f>ROUND((M2052/AVERAGE(F2065,F2067))/225,0)*75</f>
        <v>225</v>
      </c>
      <c r="N2054" s="17"/>
      <c r="P2054" s="17"/>
      <c r="Q2054" s="17"/>
      <c r="R2054" s="17"/>
      <c r="S2054" s="17"/>
      <c r="T2054" s="16"/>
      <c r="U2054" s="16"/>
      <c r="V2054" s="17"/>
      <c r="W2054" s="66">
        <v>0.4368055555555555</v>
      </c>
      <c r="X2054" s="7">
        <v>134.80000000000001</v>
      </c>
      <c r="Y2054" s="7">
        <v>121.5</v>
      </c>
      <c r="Z2054" s="66">
        <v>0.4368055555555555</v>
      </c>
    </row>
    <row r="2055" spans="2:26" x14ac:dyDescent="0.3">
      <c r="B2055" s="17"/>
      <c r="C2055" s="17"/>
      <c r="D2055" s="17"/>
      <c r="E2055" s="17"/>
      <c r="F2055" s="16"/>
      <c r="G2055" s="16"/>
      <c r="H2055" s="17"/>
      <c r="I2055" s="17"/>
      <c r="J2055" s="17"/>
      <c r="K2055" s="16"/>
      <c r="L2055" s="17"/>
      <c r="M2055" s="17"/>
      <c r="N2055" s="17"/>
      <c r="P2055" s="17"/>
      <c r="Q2055" s="17"/>
      <c r="R2055" s="17"/>
      <c r="S2055" s="17"/>
      <c r="T2055" s="17"/>
      <c r="U2055" s="17"/>
      <c r="V2055" s="17"/>
      <c r="W2055" s="66">
        <v>0.45763888888888887</v>
      </c>
      <c r="X2055" s="7">
        <v>139.19999999999999</v>
      </c>
      <c r="Y2055" s="7">
        <v>119.35</v>
      </c>
      <c r="Z2055" s="66">
        <v>0.45763888888888887</v>
      </c>
    </row>
    <row r="2056" spans="2:26" x14ac:dyDescent="0.3">
      <c r="B2056" s="16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P2056" s="16"/>
      <c r="Q2056" s="17"/>
      <c r="R2056" s="17"/>
      <c r="S2056" s="17"/>
      <c r="T2056" s="17"/>
      <c r="U2056" s="17"/>
      <c r="V2056" s="17"/>
      <c r="W2056" s="66">
        <v>0.47847222222222219</v>
      </c>
      <c r="X2056" s="7">
        <v>135.25</v>
      </c>
      <c r="Y2056" s="7">
        <v>123</v>
      </c>
      <c r="Z2056" s="66">
        <v>0.47847222222222219</v>
      </c>
    </row>
    <row r="2057" spans="2:26" x14ac:dyDescent="0.3">
      <c r="B2057" s="17"/>
      <c r="C2057" s="95">
        <v>44294</v>
      </c>
      <c r="D2057" s="17"/>
      <c r="E2057" s="17"/>
      <c r="F2057" s="7">
        <f>AVERAGE(F2059,F2068)</f>
        <v>14974.275000000001</v>
      </c>
      <c r="G2057" s="110"/>
      <c r="H2057" s="66">
        <v>0.49027777777777781</v>
      </c>
      <c r="I2057" s="66">
        <v>5.2083333333333336E-2</v>
      </c>
      <c r="J2057" s="66">
        <v>6.6666666666666666E-2</v>
      </c>
      <c r="K2057" s="66">
        <v>0.10416666666666667</v>
      </c>
      <c r="L2057" s="66"/>
      <c r="M2057" s="66">
        <v>0.13541666666666666</v>
      </c>
      <c r="N2057" s="17"/>
      <c r="P2057" s="16"/>
      <c r="Q2057" s="17"/>
      <c r="R2057" s="17"/>
      <c r="S2057" s="17"/>
      <c r="T2057" s="17"/>
      <c r="U2057" s="17"/>
      <c r="V2057" s="17"/>
      <c r="W2057" s="66">
        <v>0.4993055555555555</v>
      </c>
      <c r="X2057" s="7">
        <v>125.65</v>
      </c>
      <c r="Y2057" s="7">
        <v>130.85</v>
      </c>
      <c r="Z2057" s="66">
        <v>0.4993055555555555</v>
      </c>
    </row>
    <row r="2058" spans="2:26" x14ac:dyDescent="0.3">
      <c r="B2058" s="90" t="s">
        <v>68</v>
      </c>
      <c r="C2058" s="66">
        <v>0.41666666666666669</v>
      </c>
      <c r="D2058" s="66">
        <v>0.41041666666666665</v>
      </c>
      <c r="E2058" s="17"/>
      <c r="F2058" s="17"/>
      <c r="G2058" s="16"/>
      <c r="H2058" s="7">
        <v>14982.9</v>
      </c>
      <c r="I2058" s="7">
        <v>15017.1</v>
      </c>
      <c r="J2058" s="7">
        <v>15038.1</v>
      </c>
      <c r="K2058" s="7">
        <v>14973.95</v>
      </c>
      <c r="L2058" s="7"/>
      <c r="M2058" s="7">
        <v>14921.5</v>
      </c>
      <c r="N2058" s="17"/>
      <c r="P2058" s="17"/>
      <c r="Q2058" s="145" t="s">
        <v>72</v>
      </c>
      <c r="R2058" s="145"/>
      <c r="S2058" s="145"/>
      <c r="T2058" s="145"/>
      <c r="U2058" s="83"/>
      <c r="V2058" s="17"/>
      <c r="W2058" s="66">
        <v>0.52013888888888882</v>
      </c>
      <c r="X2058" s="7">
        <v>122.8</v>
      </c>
      <c r="Y2058" s="7">
        <v>133.5</v>
      </c>
      <c r="Z2058" s="66">
        <v>0.52013888888888882</v>
      </c>
    </row>
    <row r="2059" spans="2:26" x14ac:dyDescent="0.3">
      <c r="B2059" s="5">
        <f>B2060-50</f>
        <v>15000</v>
      </c>
      <c r="C2059" s="7">
        <v>125.35</v>
      </c>
      <c r="D2059" s="7">
        <v>117.95</v>
      </c>
      <c r="E2059" s="16"/>
      <c r="F2059" s="7">
        <f t="shared" ref="F2059:F2064" si="151">B2059+D2059</f>
        <v>15117.95</v>
      </c>
      <c r="G2059" s="16">
        <f>AVERAGE(H2070,H2059)</f>
        <v>127.5</v>
      </c>
      <c r="H2059" s="7">
        <v>121.7</v>
      </c>
      <c r="I2059" s="7">
        <v>130.4</v>
      </c>
      <c r="J2059" s="7">
        <v>142.94999999999999</v>
      </c>
      <c r="K2059" s="7">
        <v>111.35</v>
      </c>
      <c r="L2059" s="7"/>
      <c r="M2059" s="7">
        <v>95.55</v>
      </c>
      <c r="N2059" s="17"/>
      <c r="P2059" s="17"/>
      <c r="Q2059" s="34"/>
      <c r="R2059" s="34" t="s">
        <v>111</v>
      </c>
      <c r="S2059" s="34" t="s">
        <v>2</v>
      </c>
      <c r="T2059" s="34" t="s">
        <v>1</v>
      </c>
      <c r="U2059" s="84"/>
      <c r="V2059" s="17"/>
      <c r="W2059" s="66">
        <v>0.54097222222222219</v>
      </c>
      <c r="X2059" s="7">
        <v>128.94999999999999</v>
      </c>
      <c r="Y2059" s="7">
        <v>126.5</v>
      </c>
      <c r="Z2059" s="66">
        <v>0.54097222222222219</v>
      </c>
    </row>
    <row r="2060" spans="2:26" x14ac:dyDescent="0.3">
      <c r="B2060" s="5">
        <f>B2061-50</f>
        <v>15050</v>
      </c>
      <c r="C2060" s="7">
        <v>100.9</v>
      </c>
      <c r="D2060" s="7">
        <v>94.6</v>
      </c>
      <c r="E2060" s="16"/>
      <c r="F2060" s="7">
        <f t="shared" si="151"/>
        <v>15144.6</v>
      </c>
      <c r="G2060" s="16"/>
      <c r="H2060" s="7">
        <v>99.85</v>
      </c>
      <c r="I2060" s="7">
        <v>106.45</v>
      </c>
      <c r="J2060" s="7">
        <v>116.8</v>
      </c>
      <c r="K2060" s="7">
        <v>89.7</v>
      </c>
      <c r="L2060" s="7"/>
      <c r="M2060" s="7">
        <v>76.150000000000006</v>
      </c>
      <c r="N2060" s="17"/>
      <c r="P2060" s="16"/>
      <c r="Q2060" s="7">
        <f>(T2060-S2060)*R2060</f>
        <v>0</v>
      </c>
      <c r="R2060" s="109"/>
      <c r="S2060" s="7"/>
      <c r="T2060" s="7"/>
      <c r="U2060" s="70"/>
      <c r="V2060" s="17"/>
      <c r="W2060" s="66">
        <v>6.1805555555555558E-2</v>
      </c>
      <c r="X2060" s="7">
        <v>133.4</v>
      </c>
      <c r="Y2060" s="7">
        <v>118.4</v>
      </c>
      <c r="Z2060" s="66">
        <v>6.1805555555555558E-2</v>
      </c>
    </row>
    <row r="2061" spans="2:26" x14ac:dyDescent="0.3">
      <c r="B2061" s="97">
        <v>15100</v>
      </c>
      <c r="C2061" s="7">
        <v>80.849999999999994</v>
      </c>
      <c r="D2061" s="7">
        <v>75.3</v>
      </c>
      <c r="E2061" s="16"/>
      <c r="F2061" s="7">
        <f t="shared" si="151"/>
        <v>15175.3</v>
      </c>
      <c r="G2061" s="17"/>
      <c r="H2061" s="7">
        <v>79.5</v>
      </c>
      <c r="I2061" s="7">
        <v>84.25</v>
      </c>
      <c r="J2061" s="7">
        <v>93.75</v>
      </c>
      <c r="K2061" s="7">
        <v>70.400000000000006</v>
      </c>
      <c r="L2061" s="7"/>
      <c r="M2061" s="7">
        <v>58.7</v>
      </c>
      <c r="N2061" s="17"/>
      <c r="P2061" s="16"/>
      <c r="Q2061" s="7">
        <f t="shared" ref="Q2061:Q2063" si="152">(T2061-S2061)*R2061</f>
        <v>0</v>
      </c>
      <c r="R2061" s="109"/>
      <c r="S2061" s="18"/>
      <c r="T2061" s="7"/>
      <c r="U2061" s="70"/>
      <c r="V2061" s="17"/>
      <c r="W2061" s="66">
        <v>8.2638888888888887E-2</v>
      </c>
      <c r="X2061" s="7">
        <v>131.69999999999999</v>
      </c>
      <c r="Y2061" s="7">
        <v>116.75</v>
      </c>
      <c r="Z2061" s="66">
        <v>8.2638888888888887E-2</v>
      </c>
    </row>
    <row r="2062" spans="2:26" x14ac:dyDescent="0.3">
      <c r="B2062" s="5">
        <f>B2061+50</f>
        <v>15150</v>
      </c>
      <c r="C2062" s="51">
        <v>63</v>
      </c>
      <c r="D2062" s="7">
        <v>58.05</v>
      </c>
      <c r="E2062" s="16"/>
      <c r="F2062" s="98">
        <f t="shared" si="151"/>
        <v>15208.05</v>
      </c>
      <c r="G2062" s="17"/>
      <c r="H2062" s="7">
        <v>62.55</v>
      </c>
      <c r="I2062" s="7">
        <v>66.650000000000006</v>
      </c>
      <c r="J2062" s="7">
        <v>74</v>
      </c>
      <c r="K2062" s="7">
        <v>54.5</v>
      </c>
      <c r="L2062" s="7"/>
      <c r="M2062" s="7">
        <v>44.85</v>
      </c>
      <c r="N2062" s="17"/>
      <c r="P2062" s="16"/>
      <c r="Q2062" s="7">
        <f t="shared" si="152"/>
        <v>0</v>
      </c>
      <c r="R2062" s="109"/>
      <c r="S2062" s="18"/>
      <c r="T2062" s="18"/>
      <c r="U2062" s="101"/>
      <c r="V2062" s="17"/>
      <c r="W2062" s="17"/>
      <c r="X2062" s="17"/>
      <c r="Y2062" s="17"/>
      <c r="Z2062" s="17"/>
    </row>
    <row r="2063" spans="2:26" x14ac:dyDescent="0.3">
      <c r="B2063" s="99">
        <f>B2062+50</f>
        <v>15200</v>
      </c>
      <c r="C2063" s="51">
        <v>48.3</v>
      </c>
      <c r="D2063" s="7">
        <v>44.45</v>
      </c>
      <c r="E2063" s="16"/>
      <c r="F2063" s="7">
        <f t="shared" si="151"/>
        <v>15244.45</v>
      </c>
      <c r="G2063" s="17"/>
      <c r="H2063" s="7">
        <v>48.7</v>
      </c>
      <c r="I2063" s="7">
        <v>50.95</v>
      </c>
      <c r="J2063" s="7">
        <v>57.4</v>
      </c>
      <c r="K2063" s="7">
        <v>41</v>
      </c>
      <c r="L2063" s="7"/>
      <c r="M2063" s="7">
        <v>33.65</v>
      </c>
      <c r="N2063" s="17"/>
      <c r="P2063" s="17"/>
      <c r="Q2063" s="7">
        <f t="shared" si="152"/>
        <v>0</v>
      </c>
      <c r="R2063" s="109"/>
      <c r="S2063" s="18"/>
      <c r="T2063" s="18"/>
      <c r="U2063" s="101"/>
      <c r="V2063" s="17"/>
      <c r="W2063" s="90" t="s">
        <v>68</v>
      </c>
      <c r="X2063" s="91" t="s">
        <v>69</v>
      </c>
      <c r="Y2063" s="92" t="s">
        <v>70</v>
      </c>
      <c r="Z2063" s="90" t="s">
        <v>68</v>
      </c>
    </row>
    <row r="2064" spans="2:26" x14ac:dyDescent="0.3">
      <c r="B2064" s="5">
        <f>B2063+50</f>
        <v>15250</v>
      </c>
      <c r="C2064" s="7">
        <v>36.15</v>
      </c>
      <c r="D2064" s="7">
        <v>33.5</v>
      </c>
      <c r="E2064" s="16"/>
      <c r="F2064" s="7">
        <f t="shared" si="151"/>
        <v>15283.5</v>
      </c>
      <c r="G2064" s="111"/>
      <c r="H2064" s="7">
        <v>37</v>
      </c>
      <c r="I2064" s="7">
        <v>38.799999999999997</v>
      </c>
      <c r="J2064" s="7">
        <v>43.7</v>
      </c>
      <c r="K2064" s="7">
        <v>29.9</v>
      </c>
      <c r="L2064" s="7"/>
      <c r="M2064" s="7">
        <v>24.1</v>
      </c>
      <c r="N2064" s="17"/>
      <c r="P2064" s="17"/>
      <c r="Q2064" s="5" t="s">
        <v>112</v>
      </c>
      <c r="R2064" s="7">
        <f>SUM(Q2060:Q2063)</f>
        <v>0</v>
      </c>
      <c r="S2064" s="5">
        <f>SUM(S2060:S2063)</f>
        <v>0</v>
      </c>
      <c r="T2064" s="5" t="e">
        <f>(R2064/S2064)*2</f>
        <v>#DIV/0!</v>
      </c>
      <c r="U2064" s="100"/>
      <c r="V2064" s="17"/>
      <c r="W2064" s="66">
        <v>0.41597222222222219</v>
      </c>
      <c r="X2064" s="7">
        <v>63</v>
      </c>
      <c r="Y2064" s="7">
        <v>78.45</v>
      </c>
      <c r="Z2064" s="66">
        <v>0.41597222222222219</v>
      </c>
    </row>
    <row r="2065" spans="2:26" x14ac:dyDescent="0.3">
      <c r="B2065" s="17"/>
      <c r="C2065" s="17"/>
      <c r="D2065" s="16"/>
      <c r="E2065" s="16">
        <f>F2065-(G2065-F2065)</f>
        <v>62.800000000000011</v>
      </c>
      <c r="F2065" s="16">
        <f>AVERAGE(C2061,C2073)</f>
        <v>79.650000000000006</v>
      </c>
      <c r="G2065" s="16">
        <f>AVERAGE(C2060,C2072)</f>
        <v>96.5</v>
      </c>
      <c r="H2065" s="101"/>
      <c r="I2065" s="101"/>
      <c r="J2065" s="101"/>
      <c r="K2065" s="101"/>
      <c r="L2065" s="101"/>
      <c r="M2065" s="101"/>
      <c r="N2065" s="17"/>
      <c r="P2065" s="17"/>
      <c r="Q2065" s="17"/>
      <c r="R2065" s="17"/>
      <c r="S2065" s="17"/>
      <c r="T2065" s="17"/>
      <c r="U2065" s="17"/>
      <c r="V2065" s="16"/>
      <c r="W2065" s="66">
        <v>0.4368055555555555</v>
      </c>
      <c r="X2065" s="7">
        <v>69.5</v>
      </c>
      <c r="Y2065" s="7">
        <v>74.900000000000006</v>
      </c>
      <c r="Z2065" s="66">
        <v>0.4368055555555555</v>
      </c>
    </row>
    <row r="2066" spans="2:26" x14ac:dyDescent="0.3">
      <c r="B2066" s="17"/>
      <c r="C2066" s="95">
        <v>44301</v>
      </c>
      <c r="D2066" s="17"/>
      <c r="F2066" s="16"/>
      <c r="H2066" s="66">
        <v>0.49027777777777781</v>
      </c>
      <c r="I2066" s="66">
        <v>5.2083333333333336E-2</v>
      </c>
      <c r="J2066" s="66">
        <v>6.6666666666666666E-2</v>
      </c>
      <c r="K2066" s="66">
        <v>0.10416666666666667</v>
      </c>
      <c r="L2066" s="66"/>
      <c r="M2066" s="66">
        <v>0.13541666666666666</v>
      </c>
      <c r="P2066" s="17"/>
      <c r="Q2066" s="7">
        <f>(T2066-S2066)*R2066</f>
        <v>-2497.5000000000009</v>
      </c>
      <c r="R2066" s="109">
        <v>150</v>
      </c>
      <c r="S2066" s="7">
        <v>82</v>
      </c>
      <c r="T2066" s="7">
        <v>65.349999999999994</v>
      </c>
      <c r="U2066" s="70"/>
      <c r="V2066" s="17"/>
      <c r="W2066" s="66">
        <v>0.45763888888888887</v>
      </c>
      <c r="X2066" s="7">
        <v>72.849999999999994</v>
      </c>
      <c r="Y2066" s="7">
        <v>73.599999999999994</v>
      </c>
      <c r="Z2066" s="66">
        <v>0.45763888888888887</v>
      </c>
    </row>
    <row r="2067" spans="2:26" x14ac:dyDescent="0.3">
      <c r="B2067" s="90" t="s">
        <v>68</v>
      </c>
      <c r="C2067" s="66">
        <v>0.41666666666666669</v>
      </c>
      <c r="D2067" s="66">
        <v>0.39999999999999997</v>
      </c>
      <c r="E2067" s="16">
        <f>F2067-(G2067-F2067)</f>
        <v>68.199999999999989</v>
      </c>
      <c r="F2067" s="16">
        <f>AVERAGE(C2072,C2061)</f>
        <v>86.474999999999994</v>
      </c>
      <c r="G2067" s="16">
        <f>AVERAGE(C2071,C2060)</f>
        <v>104.75</v>
      </c>
      <c r="H2067" s="23">
        <v>86.4</v>
      </c>
      <c r="I2067" s="23">
        <v>119.8</v>
      </c>
      <c r="J2067" s="23">
        <v>68.2</v>
      </c>
      <c r="K2067" s="23">
        <v>133.30000000000001</v>
      </c>
      <c r="L2067" s="7"/>
      <c r="M2067" s="7">
        <v>14921.5</v>
      </c>
      <c r="P2067" s="17"/>
      <c r="Q2067" s="7">
        <f t="shared" ref="Q2067:Q2069" si="153">(T2067-S2067)*R2067</f>
        <v>0</v>
      </c>
      <c r="R2067" s="109"/>
      <c r="S2067" s="7"/>
      <c r="T2067" s="7"/>
      <c r="U2067" s="70"/>
      <c r="V2067" s="17"/>
      <c r="W2067" s="66">
        <v>0.47847222222222219</v>
      </c>
      <c r="X2067" s="7">
        <v>70.75</v>
      </c>
      <c r="Y2067" s="7">
        <v>75.7</v>
      </c>
      <c r="Z2067" s="66">
        <v>0.47847222222222219</v>
      </c>
    </row>
    <row r="2068" spans="2:26" x14ac:dyDescent="0.3">
      <c r="B2068" s="5">
        <f>B2069+50</f>
        <v>15000</v>
      </c>
      <c r="C2068" s="7">
        <v>171.05</v>
      </c>
      <c r="D2068" s="7">
        <v>169.4</v>
      </c>
      <c r="E2068" s="16"/>
      <c r="F2068" s="7">
        <f t="shared" ref="F2068:F2073" si="154">B2068-D2068</f>
        <v>14830.6</v>
      </c>
      <c r="G2068" s="16"/>
      <c r="H2068" s="7">
        <v>180.2</v>
      </c>
      <c r="I2068" s="7">
        <v>160.85</v>
      </c>
      <c r="J2068" s="7">
        <v>150.1</v>
      </c>
      <c r="K2068" s="7">
        <v>178.8</v>
      </c>
      <c r="L2068" s="7"/>
      <c r="M2068" s="7">
        <v>213.5</v>
      </c>
      <c r="N2068" s="17"/>
      <c r="P2068" s="17"/>
      <c r="Q2068" s="7">
        <f t="shared" si="153"/>
        <v>0</v>
      </c>
      <c r="R2068" s="109"/>
      <c r="S2068" s="18"/>
      <c r="T2068" s="18"/>
      <c r="U2068" s="101"/>
      <c r="V2068" s="16"/>
      <c r="W2068" s="66">
        <v>0.4993055555555555</v>
      </c>
      <c r="X2068" s="7">
        <v>64.25</v>
      </c>
      <c r="Y2068" s="7">
        <v>81.349999999999994</v>
      </c>
      <c r="Z2068" s="66">
        <v>0.4993055555555555</v>
      </c>
    </row>
    <row r="2069" spans="2:26" x14ac:dyDescent="0.3">
      <c r="B2069" s="5">
        <f>B2070+50</f>
        <v>14950</v>
      </c>
      <c r="C2069" s="7">
        <v>148.30000000000001</v>
      </c>
      <c r="D2069" s="7">
        <v>146.94999999999999</v>
      </c>
      <c r="E2069" s="16"/>
      <c r="F2069" s="7">
        <f t="shared" si="154"/>
        <v>14803.05</v>
      </c>
      <c r="G2069" s="17"/>
      <c r="H2069" s="7">
        <v>154.94999999999999</v>
      </c>
      <c r="I2069" s="7">
        <v>138.9</v>
      </c>
      <c r="J2069" s="7">
        <v>129.5</v>
      </c>
      <c r="K2069" s="7">
        <v>153.65</v>
      </c>
      <c r="L2069" s="7"/>
      <c r="M2069" s="7">
        <v>187.1</v>
      </c>
      <c r="N2069" s="17"/>
      <c r="P2069" s="17"/>
      <c r="Q2069" s="7">
        <f t="shared" si="153"/>
        <v>0</v>
      </c>
      <c r="R2069" s="109"/>
      <c r="S2069" s="18"/>
      <c r="T2069" s="18"/>
      <c r="U2069" s="101"/>
      <c r="V2069" s="16"/>
      <c r="W2069" s="66">
        <v>0.52013888888888882</v>
      </c>
      <c r="X2069" s="7">
        <v>63.25</v>
      </c>
      <c r="Y2069" s="7">
        <v>82.5</v>
      </c>
      <c r="Z2069" s="66">
        <v>0.52013888888888882</v>
      </c>
    </row>
    <row r="2070" spans="2:26" x14ac:dyDescent="0.3">
      <c r="B2070" s="97">
        <v>14900</v>
      </c>
      <c r="C2070" s="7">
        <v>127</v>
      </c>
      <c r="D2070" s="7">
        <v>126.25</v>
      </c>
      <c r="E2070" s="16"/>
      <c r="F2070" s="7">
        <f t="shared" si="154"/>
        <v>14773.75</v>
      </c>
      <c r="G2070" s="17"/>
      <c r="H2070" s="7">
        <v>133.30000000000001</v>
      </c>
      <c r="I2070" s="7">
        <v>118</v>
      </c>
      <c r="J2070" s="7">
        <v>110.25</v>
      </c>
      <c r="K2070" s="7">
        <v>132.4</v>
      </c>
      <c r="L2070" s="7"/>
      <c r="M2070" s="7">
        <v>162.1</v>
      </c>
      <c r="N2070" s="17"/>
      <c r="P2070" s="17"/>
      <c r="Q2070" s="5" t="s">
        <v>112</v>
      </c>
      <c r="R2070" s="7">
        <f>SUM(Q2066:Q2069)</f>
        <v>-2497.5000000000009</v>
      </c>
      <c r="S2070" s="5">
        <f>SUM(S2066:S2069)</f>
        <v>82</v>
      </c>
      <c r="T2070" s="5">
        <f>(R2070/S2070)*2</f>
        <v>-60.914634146341484</v>
      </c>
      <c r="U2070" s="100"/>
      <c r="V2070" s="17"/>
      <c r="W2070" s="66">
        <v>0.54097222222222219</v>
      </c>
      <c r="X2070" s="7">
        <v>67</v>
      </c>
      <c r="Y2070" s="7">
        <v>78.55</v>
      </c>
      <c r="Z2070" s="66">
        <v>0.54097222222222219</v>
      </c>
    </row>
    <row r="2071" spans="2:26" x14ac:dyDescent="0.3">
      <c r="B2071" s="14">
        <f>B2070-50</f>
        <v>14850</v>
      </c>
      <c r="C2071" s="7">
        <v>108.6</v>
      </c>
      <c r="D2071" s="7">
        <v>108.05</v>
      </c>
      <c r="E2071" s="16"/>
      <c r="F2071" s="98">
        <f t="shared" si="154"/>
        <v>14741.95</v>
      </c>
      <c r="H2071" s="7">
        <v>113.65</v>
      </c>
      <c r="I2071" s="7">
        <v>101.05</v>
      </c>
      <c r="J2071" s="7">
        <v>95.15</v>
      </c>
      <c r="K2071" s="7">
        <v>112.5</v>
      </c>
      <c r="L2071" s="7"/>
      <c r="M2071" s="7">
        <v>139.9</v>
      </c>
      <c r="N2071" s="17"/>
      <c r="P2071" s="17"/>
      <c r="Q2071" s="17"/>
      <c r="R2071" s="17"/>
      <c r="S2071" s="17"/>
      <c r="T2071" s="17"/>
      <c r="U2071" s="17"/>
      <c r="V2071" s="17"/>
      <c r="W2071" s="66">
        <v>6.1805555555555558E-2</v>
      </c>
      <c r="X2071" s="7">
        <v>68.55</v>
      </c>
      <c r="Y2071" s="7">
        <v>74</v>
      </c>
      <c r="Z2071" s="66">
        <v>6.1805555555555558E-2</v>
      </c>
    </row>
    <row r="2072" spans="2:26" x14ac:dyDescent="0.3">
      <c r="B2072" s="99">
        <f>B2071-50</f>
        <v>14800</v>
      </c>
      <c r="C2072" s="7">
        <v>92.1</v>
      </c>
      <c r="D2072" s="7">
        <v>91.95</v>
      </c>
      <c r="E2072" s="16"/>
      <c r="F2072" s="7">
        <f t="shared" si="154"/>
        <v>14708.05</v>
      </c>
      <c r="G2072" s="16">
        <f>AVERAGE(H2070:H2073)</f>
        <v>106.46250000000001</v>
      </c>
      <c r="H2072" s="7">
        <v>96.9</v>
      </c>
      <c r="I2072" s="7">
        <v>85.2</v>
      </c>
      <c r="J2072" s="7">
        <v>80.45</v>
      </c>
      <c r="K2072" s="7">
        <v>94.65</v>
      </c>
      <c r="L2072" s="7"/>
      <c r="M2072" s="7">
        <v>120.05</v>
      </c>
      <c r="N2072" s="17"/>
      <c r="P2072" s="17"/>
      <c r="Q2072" s="17"/>
      <c r="R2072" s="17"/>
      <c r="S2072" s="17"/>
      <c r="T2072" s="17"/>
      <c r="U2072" s="17"/>
      <c r="V2072" s="17"/>
      <c r="W2072" s="66">
        <v>8.2638888888888887E-2</v>
      </c>
      <c r="X2072" s="7">
        <v>67</v>
      </c>
      <c r="Y2072" s="7">
        <v>71.650000000000006</v>
      </c>
      <c r="Z2072" s="66">
        <v>8.2638888888888887E-2</v>
      </c>
    </row>
    <row r="2073" spans="2:26" x14ac:dyDescent="0.3">
      <c r="B2073" s="5">
        <f>B2072-50</f>
        <v>14750</v>
      </c>
      <c r="C2073" s="51">
        <v>78.45</v>
      </c>
      <c r="D2073" s="7">
        <v>78.3</v>
      </c>
      <c r="E2073" s="16"/>
      <c r="F2073" s="7">
        <f t="shared" si="154"/>
        <v>14671.7</v>
      </c>
      <c r="G2073" s="16">
        <f>MIN(AVERAGE(H2070,G2072),G2059)</f>
        <v>119.88125000000001</v>
      </c>
      <c r="H2073" s="7">
        <v>82</v>
      </c>
      <c r="I2073" s="7">
        <v>73</v>
      </c>
      <c r="J2073" s="7">
        <v>68.25</v>
      </c>
      <c r="K2073" s="7">
        <v>80.75</v>
      </c>
      <c r="L2073" s="7"/>
      <c r="M2073" s="7">
        <v>102.85</v>
      </c>
      <c r="N2073" s="17"/>
      <c r="P2073" s="98">
        <f>SUM(R2064,R2070)</f>
        <v>-2497.5000000000009</v>
      </c>
      <c r="Q2073" s="92" t="s">
        <v>72</v>
      </c>
      <c r="R2073" s="17"/>
      <c r="S2073" s="92" t="s">
        <v>73</v>
      </c>
      <c r="T2073" s="7">
        <f>((X2065+Y2065)-(X2073+Y2073))</f>
        <v>-4.75</v>
      </c>
      <c r="U2073" s="7"/>
      <c r="V2073" s="98">
        <f>T2073*M2054</f>
        <v>-1068.75</v>
      </c>
      <c r="W2073" s="66">
        <v>0.4375</v>
      </c>
      <c r="X2073" s="7">
        <v>70.7</v>
      </c>
      <c r="Y2073" s="23">
        <v>78.45</v>
      </c>
      <c r="Z2073" s="66">
        <v>0.4861111111111111</v>
      </c>
    </row>
    <row r="2075" spans="2:26" x14ac:dyDescent="0.3">
      <c r="F2075" s="40"/>
      <c r="G2075" s="40"/>
    </row>
    <row r="2076" spans="2:26" x14ac:dyDescent="0.3">
      <c r="G2076" s="40"/>
    </row>
    <row r="2085" spans="2:26" x14ac:dyDescent="0.3">
      <c r="B2085" s="40"/>
      <c r="C2085" s="50">
        <f>AVERAGE(B2086,D2085)</f>
        <v>14969.75</v>
      </c>
      <c r="D2085" s="51">
        <f>B2086+E2086</f>
        <v>15024.75</v>
      </c>
      <c r="E2085" s="50">
        <f>AVERAGE(D2085,F2085)</f>
        <v>15079.75</v>
      </c>
      <c r="F2085" s="50">
        <f>D2085+E2086</f>
        <v>15134.75</v>
      </c>
      <c r="G2085" s="17"/>
      <c r="H2085" s="88" t="str">
        <f>IF((C2094-D2094)&gt;(C2103-D2103),"LONG",IF(C2103&gt;D2101,"LONG","SHORT"))</f>
        <v>LONG</v>
      </c>
      <c r="I2085" s="112">
        <v>14852</v>
      </c>
      <c r="J2085" s="105" t="s">
        <v>122</v>
      </c>
      <c r="K2085" s="113">
        <v>14943</v>
      </c>
      <c r="L2085" s="17"/>
      <c r="M2085" s="94">
        <f>(232000)/4</f>
        <v>58000</v>
      </c>
      <c r="N2085" s="17"/>
      <c r="P2085" s="16"/>
      <c r="Q2085" s="149" t="s">
        <v>71</v>
      </c>
      <c r="R2085" s="149"/>
      <c r="S2085" s="149" t="s">
        <v>37</v>
      </c>
      <c r="T2085" s="149"/>
      <c r="U2085" s="89"/>
      <c r="V2085" s="17"/>
      <c r="W2085" s="90" t="s">
        <v>68</v>
      </c>
      <c r="X2085" s="91" t="s">
        <v>69</v>
      </c>
      <c r="Y2085" s="92" t="s">
        <v>70</v>
      </c>
      <c r="Z2085" s="90" t="s">
        <v>68</v>
      </c>
    </row>
    <row r="2086" spans="2:26" x14ac:dyDescent="0.3">
      <c r="B2086" s="50">
        <v>14914.75</v>
      </c>
      <c r="C2086" s="40"/>
      <c r="D2086" s="58"/>
      <c r="E2086" s="59">
        <f>ROUND((((B2086*F2086%)/4)/10),0)*10</f>
        <v>110</v>
      </c>
      <c r="F2086" s="51">
        <f>(100/B2086)*(F2095-F2104)</f>
        <v>2.8183509612967055</v>
      </c>
      <c r="G2086" s="17"/>
      <c r="H2086" s="93">
        <v>0.39166666666666666</v>
      </c>
      <c r="I2086" s="93">
        <v>0.39861111111111108</v>
      </c>
      <c r="J2086" s="93">
        <v>0.4055555555555555</v>
      </c>
      <c r="K2086" s="93">
        <v>0.41250000000000003</v>
      </c>
      <c r="L2086" s="17"/>
      <c r="N2086" s="17"/>
      <c r="P2086" s="16"/>
      <c r="Q2086" s="51">
        <f>R2086-(S2086-R2086)</f>
        <v>14030.2</v>
      </c>
      <c r="R2086" s="51">
        <v>14512.1</v>
      </c>
      <c r="S2086" s="51">
        <v>14994</v>
      </c>
      <c r="T2086" s="51">
        <f>S2086+(S2086-R2086)</f>
        <v>15475.9</v>
      </c>
      <c r="U2086" s="62"/>
      <c r="V2086" s="17"/>
      <c r="W2086" s="66">
        <v>0.41597222222222219</v>
      </c>
      <c r="X2086" s="7">
        <v>129.05000000000001</v>
      </c>
      <c r="Y2086" s="7">
        <v>140.55000000000001</v>
      </c>
      <c r="Z2086" s="66">
        <v>0.41597222222222219</v>
      </c>
    </row>
    <row r="2087" spans="2:26" x14ac:dyDescent="0.3">
      <c r="B2087" s="40"/>
      <c r="C2087" s="50">
        <f>AVERAGE(B2086,D2087)</f>
        <v>14859.75</v>
      </c>
      <c r="D2087" s="51">
        <f>B2086-E2086</f>
        <v>14804.75</v>
      </c>
      <c r="E2087" s="50">
        <f>AVERAGE(D2087,F2087)</f>
        <v>14749.75</v>
      </c>
      <c r="F2087" s="50">
        <f>D2087-E2086</f>
        <v>14694.75</v>
      </c>
      <c r="G2087" s="17"/>
      <c r="H2087" s="51"/>
      <c r="I2087" s="51"/>
      <c r="J2087" s="51">
        <v>14927.95</v>
      </c>
      <c r="K2087" s="51">
        <v>14908</v>
      </c>
      <c r="L2087" s="17"/>
      <c r="M2087" s="94">
        <f>ROUND((M2085/AVERAGE(F2098,F2100))/225,0)*75</f>
        <v>225</v>
      </c>
      <c r="N2087" s="17"/>
      <c r="P2087" s="16"/>
      <c r="Q2087" s="17"/>
      <c r="R2087" s="17"/>
      <c r="S2087" s="17"/>
      <c r="T2087" s="16"/>
      <c r="U2087" s="16"/>
      <c r="V2087" s="17"/>
      <c r="W2087" s="66">
        <v>0.4368055555555555</v>
      </c>
      <c r="X2087" s="7">
        <v>141.85</v>
      </c>
      <c r="Y2087" s="7">
        <v>133</v>
      </c>
      <c r="Z2087" s="66">
        <v>0.4368055555555555</v>
      </c>
    </row>
    <row r="2088" spans="2:26" x14ac:dyDescent="0.3">
      <c r="B2088" s="17"/>
      <c r="C2088" s="17"/>
      <c r="D2088" s="17"/>
      <c r="E2088" s="17"/>
      <c r="F2088" s="16"/>
      <c r="G2088" s="16"/>
      <c r="H2088" s="17"/>
      <c r="I2088" s="17"/>
      <c r="J2088" s="17"/>
      <c r="K2088" s="16"/>
      <c r="L2088" s="17"/>
      <c r="M2088" s="17"/>
      <c r="N2088" s="17"/>
      <c r="P2088" s="17"/>
      <c r="Q2088" s="17"/>
      <c r="R2088" s="17"/>
      <c r="S2088" s="17"/>
      <c r="T2088" s="17"/>
      <c r="U2088" s="17"/>
      <c r="V2088" s="17"/>
      <c r="W2088" s="66">
        <v>0.45763888888888887</v>
      </c>
      <c r="X2088" s="7">
        <v>130</v>
      </c>
      <c r="Y2088" s="7">
        <v>139.1</v>
      </c>
      <c r="Z2088" s="66">
        <v>0.45763888888888887</v>
      </c>
    </row>
    <row r="2089" spans="2:26" x14ac:dyDescent="0.3">
      <c r="B2089" s="16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P2089" s="16"/>
      <c r="Q2089" s="17"/>
      <c r="R2089" s="17"/>
      <c r="S2089" s="17"/>
      <c r="T2089" s="17"/>
      <c r="U2089" s="17"/>
      <c r="V2089" s="17"/>
      <c r="W2089" s="66">
        <v>0.47847222222222219</v>
      </c>
      <c r="X2089" s="7">
        <v>118.5</v>
      </c>
      <c r="Y2089" s="7">
        <v>147.55000000000001</v>
      </c>
      <c r="Z2089" s="66">
        <v>0.47847222222222219</v>
      </c>
    </row>
    <row r="2090" spans="2:26" x14ac:dyDescent="0.3">
      <c r="B2090" s="17"/>
      <c r="C2090" s="95">
        <v>44295</v>
      </c>
      <c r="D2090" s="17"/>
      <c r="E2090" s="17"/>
      <c r="F2090" s="7">
        <f>AVERAGE(F2092,F2101)</f>
        <v>14893.5</v>
      </c>
      <c r="G2090" s="96"/>
      <c r="H2090" s="66">
        <v>0.46527777777777773</v>
      </c>
      <c r="I2090" s="66">
        <v>0.48958333333333331</v>
      </c>
      <c r="J2090" s="66">
        <v>0.10347222222222223</v>
      </c>
      <c r="K2090" s="66"/>
      <c r="L2090" s="66"/>
      <c r="M2090" s="66">
        <v>0.13541666666666666</v>
      </c>
      <c r="N2090" s="17"/>
      <c r="P2090" s="16"/>
      <c r="Q2090" s="17"/>
      <c r="R2090" s="17"/>
      <c r="S2090" s="17"/>
      <c r="T2090" s="17"/>
      <c r="U2090" s="17"/>
      <c r="V2090" s="17"/>
      <c r="W2090" s="66">
        <v>0.4993055555555555</v>
      </c>
      <c r="X2090" s="7">
        <v>127.45</v>
      </c>
      <c r="Y2090" s="7">
        <v>133.65</v>
      </c>
      <c r="Z2090" s="66">
        <v>0.4993055555555555</v>
      </c>
    </row>
    <row r="2091" spans="2:26" x14ac:dyDescent="0.3">
      <c r="B2091" s="90" t="s">
        <v>68</v>
      </c>
      <c r="C2091" s="66">
        <v>0.41666666666666669</v>
      </c>
      <c r="D2091" s="66">
        <v>0.39027777777777778</v>
      </c>
      <c r="E2091" s="17"/>
      <c r="F2091" s="17"/>
      <c r="G2091" s="17"/>
      <c r="H2091" s="7">
        <v>14896.65</v>
      </c>
      <c r="I2091" s="7">
        <v>14920.15</v>
      </c>
      <c r="J2091" s="7">
        <v>14898.2</v>
      </c>
      <c r="K2091" s="7"/>
      <c r="L2091" s="7"/>
      <c r="M2091" s="7">
        <v>14887.05</v>
      </c>
      <c r="N2091" s="17"/>
      <c r="P2091" s="17"/>
      <c r="Q2091" s="145" t="s">
        <v>72</v>
      </c>
      <c r="R2091" s="145"/>
      <c r="S2091" s="145"/>
      <c r="T2091" s="145"/>
      <c r="U2091" s="83"/>
      <c r="V2091" s="17"/>
      <c r="W2091" s="66">
        <v>0.52013888888888882</v>
      </c>
      <c r="X2091" s="7">
        <v>124.5</v>
      </c>
      <c r="Y2091" s="7">
        <v>134.19999999999999</v>
      </c>
      <c r="Z2091" s="66">
        <v>0.52013888888888882</v>
      </c>
    </row>
    <row r="2092" spans="2:26" x14ac:dyDescent="0.3">
      <c r="B2092" s="5">
        <f>B2093-50</f>
        <v>14900</v>
      </c>
      <c r="C2092" s="7">
        <v>129.05000000000001</v>
      </c>
      <c r="D2092" s="7">
        <v>114.85</v>
      </c>
      <c r="E2092" s="16"/>
      <c r="F2092" s="7">
        <f t="shared" ref="F2092:F2097" si="155">B2092+D2092</f>
        <v>15014.85</v>
      </c>
      <c r="G2092" s="16">
        <f>AVERAGE(H2103,H2092)</f>
        <v>133.92500000000001</v>
      </c>
      <c r="H2092" s="7">
        <v>121.35</v>
      </c>
      <c r="I2092" s="7">
        <v>127.6</v>
      </c>
      <c r="J2092" s="7">
        <v>107.75</v>
      </c>
      <c r="K2092" s="7"/>
      <c r="L2092" s="7"/>
      <c r="M2092" s="7">
        <v>99.95</v>
      </c>
      <c r="N2092" s="17"/>
      <c r="P2092" s="17"/>
      <c r="Q2092" s="34"/>
      <c r="R2092" s="34" t="s">
        <v>111</v>
      </c>
      <c r="S2092" s="34" t="s">
        <v>2</v>
      </c>
      <c r="T2092" s="34" t="s">
        <v>1</v>
      </c>
      <c r="U2092" s="84"/>
      <c r="V2092" s="17"/>
      <c r="W2092" s="66">
        <v>0.54097222222222219</v>
      </c>
      <c r="X2092" s="7">
        <v>121.45</v>
      </c>
      <c r="Y2092" s="7">
        <v>135.4</v>
      </c>
      <c r="Z2092" s="66">
        <v>0.54097222222222219</v>
      </c>
    </row>
    <row r="2093" spans="2:26" x14ac:dyDescent="0.3">
      <c r="B2093" s="5">
        <f>B2094-50</f>
        <v>14950</v>
      </c>
      <c r="C2093" s="7">
        <v>104.45</v>
      </c>
      <c r="D2093" s="7">
        <v>92.6</v>
      </c>
      <c r="E2093" s="16"/>
      <c r="F2093" s="7">
        <f t="shared" si="155"/>
        <v>15042.6</v>
      </c>
      <c r="G2093" s="17"/>
      <c r="H2093" s="7">
        <v>98</v>
      </c>
      <c r="I2093" s="7">
        <v>102.85</v>
      </c>
      <c r="J2093" s="7">
        <v>85</v>
      </c>
      <c r="K2093" s="7"/>
      <c r="L2093" s="7"/>
      <c r="M2093" s="7">
        <v>77.650000000000006</v>
      </c>
      <c r="N2093" s="17"/>
      <c r="P2093" s="17"/>
      <c r="Q2093" s="7">
        <f>(T2093-S2093)*R2093</f>
        <v>0</v>
      </c>
      <c r="R2093" s="109"/>
      <c r="S2093" s="7"/>
      <c r="T2093" s="7"/>
      <c r="U2093" s="70"/>
      <c r="V2093" s="17"/>
      <c r="W2093" s="66">
        <v>6.1805555555555558E-2</v>
      </c>
      <c r="X2093" s="7">
        <v>119.1</v>
      </c>
      <c r="Y2093" s="7">
        <v>134.35</v>
      </c>
      <c r="Z2093" s="66">
        <v>6.1805555555555558E-2</v>
      </c>
    </row>
    <row r="2094" spans="2:26" x14ac:dyDescent="0.3">
      <c r="B2094" s="97">
        <v>15000</v>
      </c>
      <c r="C2094" s="7">
        <v>82.5</v>
      </c>
      <c r="D2094" s="7">
        <v>72.55</v>
      </c>
      <c r="E2094" s="16"/>
      <c r="F2094" s="7">
        <f t="shared" si="155"/>
        <v>15072.55</v>
      </c>
      <c r="G2094" s="17"/>
      <c r="H2094" s="7">
        <v>77.2</v>
      </c>
      <c r="I2094" s="7">
        <v>81.45</v>
      </c>
      <c r="J2094" s="7">
        <v>64.849999999999994</v>
      </c>
      <c r="K2094" s="7"/>
      <c r="L2094" s="7"/>
      <c r="M2094" s="7">
        <v>58.45</v>
      </c>
      <c r="N2094" s="17"/>
      <c r="P2094" s="17"/>
      <c r="Q2094" s="7">
        <f t="shared" ref="Q2094:Q2096" si="156">(T2094-S2094)*R2094</f>
        <v>0</v>
      </c>
      <c r="R2094" s="109"/>
      <c r="S2094" s="7"/>
      <c r="T2094" s="7"/>
      <c r="U2094" s="70"/>
      <c r="V2094" s="17"/>
      <c r="W2094" s="66">
        <v>8.2638888888888887E-2</v>
      </c>
      <c r="X2094" s="7">
        <v>92.85</v>
      </c>
      <c r="Y2094" s="7">
        <v>160.6</v>
      </c>
      <c r="Z2094" s="66">
        <v>8.2638888888888887E-2</v>
      </c>
    </row>
    <row r="2095" spans="2:26" x14ac:dyDescent="0.3">
      <c r="B2095" s="5">
        <f>B2094+50</f>
        <v>15050</v>
      </c>
      <c r="C2095" s="51">
        <v>63.5</v>
      </c>
      <c r="D2095" s="23">
        <v>55.75</v>
      </c>
      <c r="E2095" s="16"/>
      <c r="F2095" s="98">
        <f t="shared" si="155"/>
        <v>15105.75</v>
      </c>
      <c r="G2095" s="17"/>
      <c r="H2095" s="7">
        <v>59.8</v>
      </c>
      <c r="I2095" s="7">
        <v>63.1</v>
      </c>
      <c r="J2095" s="7">
        <v>48.3</v>
      </c>
      <c r="K2095" s="7"/>
      <c r="L2095" s="7"/>
      <c r="M2095" s="7">
        <v>42.65</v>
      </c>
      <c r="N2095" s="17"/>
      <c r="P2095" s="17"/>
      <c r="Q2095" s="7">
        <f t="shared" si="156"/>
        <v>0</v>
      </c>
      <c r="R2095" s="109"/>
      <c r="S2095" s="18"/>
      <c r="T2095" s="18"/>
      <c r="U2095" s="101"/>
      <c r="V2095" s="17"/>
      <c r="W2095" s="17"/>
      <c r="X2095" s="17"/>
      <c r="Y2095" s="17"/>
      <c r="Z2095" s="17"/>
    </row>
    <row r="2096" spans="2:26" x14ac:dyDescent="0.3">
      <c r="B2096" s="99">
        <f>B2095+50</f>
        <v>15100</v>
      </c>
      <c r="C2096" s="51">
        <v>48</v>
      </c>
      <c r="D2096" s="7">
        <v>42.25</v>
      </c>
      <c r="E2096" s="16"/>
      <c r="F2096" s="7">
        <f t="shared" si="155"/>
        <v>15142.25</v>
      </c>
      <c r="G2096" s="17"/>
      <c r="H2096" s="7">
        <v>45</v>
      </c>
      <c r="I2096" s="7">
        <v>47.35</v>
      </c>
      <c r="J2096" s="7">
        <v>35</v>
      </c>
      <c r="K2096" s="7"/>
      <c r="L2096" s="7"/>
      <c r="M2096" s="7">
        <v>30.45</v>
      </c>
      <c r="N2096" s="17"/>
      <c r="P2096" s="17"/>
      <c r="Q2096" s="7">
        <f t="shared" si="156"/>
        <v>0</v>
      </c>
      <c r="R2096" s="109"/>
      <c r="S2096" s="18"/>
      <c r="T2096" s="18"/>
      <c r="U2096" s="101"/>
      <c r="V2096" s="17"/>
      <c r="W2096" s="90" t="s">
        <v>68</v>
      </c>
      <c r="X2096" s="91" t="s">
        <v>69</v>
      </c>
      <c r="Y2096" s="92" t="s">
        <v>70</v>
      </c>
      <c r="Z2096" s="90" t="s">
        <v>68</v>
      </c>
    </row>
    <row r="2097" spans="2:26" x14ac:dyDescent="0.3">
      <c r="B2097" s="5">
        <f>B2096+50</f>
        <v>15150</v>
      </c>
      <c r="C2097" s="7">
        <v>35.200000000000003</v>
      </c>
      <c r="D2097" s="7">
        <v>31.55</v>
      </c>
      <c r="E2097" s="16"/>
      <c r="F2097" s="7">
        <f t="shared" si="155"/>
        <v>15181.55</v>
      </c>
      <c r="G2097" s="16"/>
      <c r="H2097" s="7">
        <v>33.299999999999997</v>
      </c>
      <c r="I2097" s="7">
        <v>35.299999999999997</v>
      </c>
      <c r="J2097" s="7">
        <v>24.6</v>
      </c>
      <c r="K2097" s="7"/>
      <c r="L2097" s="7"/>
      <c r="M2097" s="7">
        <v>20.8</v>
      </c>
      <c r="N2097" s="17"/>
      <c r="P2097" s="17"/>
      <c r="Q2097" s="5" t="s">
        <v>112</v>
      </c>
      <c r="R2097" s="7">
        <f>SUM(Q2093:Q2096)</f>
        <v>0</v>
      </c>
      <c r="S2097" s="5">
        <f>SUM(S2093:S2096)</f>
        <v>0</v>
      </c>
      <c r="T2097" s="5" t="e">
        <f>(R2097/S2097)*2</f>
        <v>#DIV/0!</v>
      </c>
      <c r="U2097" s="100"/>
      <c r="V2097" s="17"/>
      <c r="W2097" s="66">
        <v>0.41597222222222219</v>
      </c>
      <c r="X2097" s="7">
        <v>63.5</v>
      </c>
      <c r="Y2097" s="7">
        <v>89.45</v>
      </c>
      <c r="Z2097" s="66">
        <v>0.41597222222222219</v>
      </c>
    </row>
    <row r="2098" spans="2:26" x14ac:dyDescent="0.3">
      <c r="B2098" s="17"/>
      <c r="C2098" s="17"/>
      <c r="D2098" s="16"/>
      <c r="E2098" s="16">
        <f>F2098-(G2098-F2098)</f>
        <v>66.974999999999994</v>
      </c>
      <c r="F2098" s="16">
        <f>AVERAGE(C2094,C2106)</f>
        <v>85.974999999999994</v>
      </c>
      <c r="G2098" s="16">
        <f>AVERAGE(C2093,C2105)</f>
        <v>104.97499999999999</v>
      </c>
      <c r="H2098" s="101"/>
      <c r="I2098" s="101"/>
      <c r="J2098" s="101"/>
      <c r="K2098" s="101"/>
      <c r="L2098" s="101"/>
      <c r="M2098" s="101"/>
      <c r="N2098" s="17"/>
      <c r="P2098" s="17"/>
      <c r="Q2098" s="17"/>
      <c r="R2098" s="17"/>
      <c r="S2098" s="17"/>
      <c r="T2098" s="17"/>
      <c r="U2098" s="17"/>
      <c r="V2098" s="16"/>
      <c r="W2098" s="66">
        <v>0.4368055555555555</v>
      </c>
      <c r="X2098" s="7">
        <v>73.2</v>
      </c>
      <c r="Y2098" s="7">
        <v>83.9</v>
      </c>
      <c r="Z2098" s="66">
        <v>0.4368055555555555</v>
      </c>
    </row>
    <row r="2099" spans="2:26" x14ac:dyDescent="0.3">
      <c r="B2099" s="17"/>
      <c r="C2099" s="95">
        <v>44301</v>
      </c>
      <c r="D2099" s="17"/>
      <c r="F2099" s="16"/>
      <c r="H2099" s="66">
        <v>0.46527777777777773</v>
      </c>
      <c r="I2099" s="66">
        <v>0.48958333333333331</v>
      </c>
      <c r="J2099" s="66">
        <v>0.10347222222222223</v>
      </c>
      <c r="K2099" s="66"/>
      <c r="L2099" s="66"/>
      <c r="M2099" s="66">
        <v>0.13541666666666666</v>
      </c>
      <c r="P2099" s="17"/>
      <c r="Q2099" s="7">
        <f>(T2099-S2099)*R2099</f>
        <v>-1068.75</v>
      </c>
      <c r="R2099" s="109">
        <v>75</v>
      </c>
      <c r="S2099" s="7">
        <v>92</v>
      </c>
      <c r="T2099" s="7">
        <v>77.75</v>
      </c>
      <c r="U2099" s="70"/>
      <c r="V2099" s="17"/>
      <c r="W2099" s="66">
        <v>0.45763888888888887</v>
      </c>
      <c r="X2099" s="7">
        <v>65.349999999999994</v>
      </c>
      <c r="Y2099" s="7">
        <v>88.1</v>
      </c>
      <c r="Z2099" s="66">
        <v>0.45763888888888887</v>
      </c>
    </row>
    <row r="2100" spans="2:26" x14ac:dyDescent="0.3">
      <c r="B2100" s="90" t="s">
        <v>68</v>
      </c>
      <c r="C2100" s="66">
        <v>0.41666666666666669</v>
      </c>
      <c r="D2100" s="66">
        <v>0.40625</v>
      </c>
      <c r="E2100" s="16">
        <f>F2100-(G2100-F2100)</f>
        <v>74.974999999999994</v>
      </c>
      <c r="F2100" s="16">
        <f>AVERAGE(C2105,C2094)</f>
        <v>94</v>
      </c>
      <c r="G2100" s="16">
        <f>AVERAGE(C2104,C2093)</f>
        <v>113.02500000000001</v>
      </c>
      <c r="H2100" s="23">
        <v>94</v>
      </c>
      <c r="I2100" s="23">
        <v>132.5</v>
      </c>
      <c r="J2100" s="23">
        <v>74.900000000000006</v>
      </c>
      <c r="K2100" s="7"/>
      <c r="L2100" s="7"/>
      <c r="M2100" s="7">
        <v>14887.05</v>
      </c>
      <c r="P2100" s="17"/>
      <c r="Q2100" s="7">
        <f>(T2100-S2100)*R2100</f>
        <v>-1068.75</v>
      </c>
      <c r="R2100" s="109">
        <v>75</v>
      </c>
      <c r="S2100" s="7">
        <v>92</v>
      </c>
      <c r="T2100" s="7">
        <v>77.75</v>
      </c>
      <c r="U2100" s="70"/>
      <c r="V2100" s="17"/>
      <c r="W2100" s="66">
        <v>0.47847222222222219</v>
      </c>
      <c r="X2100" s="7">
        <v>58.05</v>
      </c>
      <c r="Y2100" s="7">
        <v>91.3</v>
      </c>
      <c r="Z2100" s="66">
        <v>0.47847222222222219</v>
      </c>
    </row>
    <row r="2101" spans="2:26" x14ac:dyDescent="0.3">
      <c r="B2101" s="5">
        <f>B2102+50</f>
        <v>14950</v>
      </c>
      <c r="C2101" s="7">
        <v>189</v>
      </c>
      <c r="D2101" s="7">
        <v>177.85</v>
      </c>
      <c r="E2101" s="16"/>
      <c r="F2101" s="7">
        <f t="shared" ref="F2101:F2106" si="157">B2101-D2101</f>
        <v>14772.15</v>
      </c>
      <c r="G2101" s="16"/>
      <c r="H2101" s="7">
        <v>197</v>
      </c>
      <c r="I2101" s="7">
        <v>181.6</v>
      </c>
      <c r="J2101" s="7">
        <v>183.1</v>
      </c>
      <c r="K2101" s="7"/>
      <c r="L2101" s="7"/>
      <c r="M2101" s="7">
        <v>185.55</v>
      </c>
      <c r="N2101" s="17"/>
      <c r="P2101" s="17"/>
      <c r="Q2101" s="7">
        <f>(T2101-S2101)*R2101</f>
        <v>0</v>
      </c>
      <c r="R2101" s="109"/>
      <c r="S2101" s="7"/>
      <c r="T2101" s="18"/>
      <c r="U2101" s="101"/>
      <c r="V2101" s="16"/>
      <c r="W2101" s="66">
        <v>0.4993055555555555</v>
      </c>
      <c r="X2101" s="7">
        <v>63.15</v>
      </c>
      <c r="Y2101" s="7">
        <v>82.35</v>
      </c>
      <c r="Z2101" s="66">
        <v>0.4993055555555555</v>
      </c>
    </row>
    <row r="2102" spans="2:26" x14ac:dyDescent="0.3">
      <c r="B2102" s="5">
        <f>B2103+50</f>
        <v>14900</v>
      </c>
      <c r="C2102" s="7">
        <v>162.6</v>
      </c>
      <c r="D2102" s="7">
        <v>154</v>
      </c>
      <c r="E2102" s="16"/>
      <c r="F2102" s="7">
        <f t="shared" si="157"/>
        <v>14746</v>
      </c>
      <c r="G2102" s="17"/>
      <c r="H2102" s="7">
        <v>170.9</v>
      </c>
      <c r="I2102" s="7">
        <v>156.69999999999999</v>
      </c>
      <c r="J2102" s="7">
        <v>155.69999999999999</v>
      </c>
      <c r="K2102" s="7"/>
      <c r="L2102" s="7"/>
      <c r="M2102" s="7">
        <v>158.30000000000001</v>
      </c>
      <c r="N2102" s="17"/>
      <c r="P2102" s="17"/>
      <c r="Q2102" s="7">
        <f t="shared" ref="Q2102" si="158">(T2102-S2102)*R2102</f>
        <v>0</v>
      </c>
      <c r="R2102" s="109"/>
      <c r="S2102" s="18"/>
      <c r="T2102" s="18"/>
      <c r="U2102" s="101"/>
      <c r="V2102" s="16"/>
      <c r="W2102" s="66">
        <v>0.52013888888888882</v>
      </c>
      <c r="X2102" s="7">
        <v>61</v>
      </c>
      <c r="Y2102" s="7">
        <v>83.3</v>
      </c>
      <c r="Z2102" s="66">
        <v>0.52013888888888882</v>
      </c>
    </row>
    <row r="2103" spans="2:26" x14ac:dyDescent="0.3">
      <c r="B2103" s="97">
        <v>14850</v>
      </c>
      <c r="C2103" s="7">
        <v>140.55000000000001</v>
      </c>
      <c r="D2103" s="7">
        <v>133.15</v>
      </c>
      <c r="E2103" s="16"/>
      <c r="F2103" s="7">
        <f t="shared" si="157"/>
        <v>14716.85</v>
      </c>
      <c r="G2103" s="17"/>
      <c r="H2103" s="7">
        <v>146.5</v>
      </c>
      <c r="I2103" s="7">
        <v>134</v>
      </c>
      <c r="J2103" s="7">
        <v>131.75</v>
      </c>
      <c r="K2103" s="7"/>
      <c r="L2103" s="7"/>
      <c r="M2103" s="7">
        <v>134.05000000000001</v>
      </c>
      <c r="N2103" s="17"/>
      <c r="P2103" s="17"/>
      <c r="Q2103" s="5" t="s">
        <v>112</v>
      </c>
      <c r="R2103" s="7">
        <f>SUM(Q2099:Q2102)</f>
        <v>-2137.5</v>
      </c>
      <c r="S2103" s="5">
        <f>SUM(S2099:S2102)</f>
        <v>184</v>
      </c>
      <c r="T2103" s="5">
        <f>(R2103/S2103)*2</f>
        <v>-23.233695652173914</v>
      </c>
      <c r="U2103" s="100"/>
      <c r="V2103" s="17"/>
      <c r="W2103" s="66">
        <v>0.54097222222222219</v>
      </c>
      <c r="X2103" s="7">
        <v>58.8</v>
      </c>
      <c r="Y2103" s="7">
        <v>83.95</v>
      </c>
      <c r="Z2103" s="66">
        <v>0.54097222222222219</v>
      </c>
    </row>
    <row r="2104" spans="2:26" x14ac:dyDescent="0.3">
      <c r="B2104" s="14">
        <f>B2103-50</f>
        <v>14800</v>
      </c>
      <c r="C2104" s="7">
        <v>121.6</v>
      </c>
      <c r="D2104" s="23">
        <v>114.6</v>
      </c>
      <c r="E2104" s="16"/>
      <c r="F2104" s="98">
        <f t="shared" si="157"/>
        <v>14685.4</v>
      </c>
      <c r="G2104" s="17"/>
      <c r="H2104" s="7">
        <v>126.8</v>
      </c>
      <c r="I2104" s="7">
        <v>114.95</v>
      </c>
      <c r="J2104" s="7">
        <v>112.1</v>
      </c>
      <c r="K2104" s="7"/>
      <c r="L2104" s="7"/>
      <c r="M2104" s="7">
        <v>112</v>
      </c>
      <c r="N2104" s="17"/>
      <c r="P2104" s="17"/>
      <c r="Q2104" s="17"/>
      <c r="R2104" s="17"/>
      <c r="S2104" s="17"/>
      <c r="T2104" s="17"/>
      <c r="U2104" s="17"/>
      <c r="V2104" s="17"/>
      <c r="W2104" s="66">
        <v>6.1805555555555558E-2</v>
      </c>
      <c r="X2104" s="7">
        <v>55.35</v>
      </c>
      <c r="Y2104" s="7">
        <v>83.7</v>
      </c>
      <c r="Z2104" s="66">
        <v>6.1805555555555558E-2</v>
      </c>
    </row>
    <row r="2105" spans="2:26" x14ac:dyDescent="0.3">
      <c r="B2105" s="99">
        <f>B2104-50</f>
        <v>14750</v>
      </c>
      <c r="C2105" s="7">
        <v>105.5</v>
      </c>
      <c r="D2105" s="7">
        <v>98.75</v>
      </c>
      <c r="E2105" s="16"/>
      <c r="F2105" s="7">
        <f t="shared" si="157"/>
        <v>14651.25</v>
      </c>
      <c r="G2105" s="16">
        <f>MIN(AVERAGE(G2106,H2103),G2092)</f>
        <v>132.51249999999999</v>
      </c>
      <c r="H2105" s="7">
        <v>108.8</v>
      </c>
      <c r="I2105" s="7">
        <v>98</v>
      </c>
      <c r="J2105" s="7">
        <v>93.9</v>
      </c>
      <c r="K2105" s="7"/>
      <c r="L2105" s="7"/>
      <c r="M2105" s="7">
        <v>93.55</v>
      </c>
      <c r="N2105" s="17"/>
      <c r="P2105" s="17"/>
      <c r="Q2105" s="17"/>
      <c r="R2105" s="17"/>
      <c r="S2105" s="17"/>
      <c r="T2105" s="17"/>
      <c r="U2105" s="17"/>
      <c r="V2105" s="17"/>
      <c r="W2105" s="66">
        <v>8.2638888888888887E-2</v>
      </c>
      <c r="X2105" s="7">
        <v>40.6</v>
      </c>
      <c r="Y2105" s="7">
        <v>98</v>
      </c>
      <c r="Z2105" s="66">
        <v>8.2638888888888887E-2</v>
      </c>
    </row>
    <row r="2106" spans="2:26" x14ac:dyDescent="0.3">
      <c r="B2106" s="5">
        <f>B2105-50</f>
        <v>14700</v>
      </c>
      <c r="C2106" s="51">
        <v>89.45</v>
      </c>
      <c r="D2106" s="7">
        <v>84.35</v>
      </c>
      <c r="E2106" s="16"/>
      <c r="F2106" s="7">
        <f t="shared" si="157"/>
        <v>14615.65</v>
      </c>
      <c r="G2106" s="16">
        <f>AVERAGE(H2103:H2106)</f>
        <v>118.52500000000001</v>
      </c>
      <c r="H2106" s="7">
        <v>92</v>
      </c>
      <c r="I2106" s="7">
        <v>82.85</v>
      </c>
      <c r="J2106" s="7">
        <v>78.400000000000006</v>
      </c>
      <c r="K2106" s="7"/>
      <c r="L2106" s="7"/>
      <c r="M2106" s="7">
        <v>77.75</v>
      </c>
      <c r="N2106" s="17"/>
      <c r="P2106" s="98">
        <f>SUM(R2097,R2103)</f>
        <v>-2137.5</v>
      </c>
      <c r="Q2106" s="92" t="s">
        <v>72</v>
      </c>
      <c r="R2106" s="17"/>
      <c r="S2106" s="92" t="s">
        <v>73</v>
      </c>
      <c r="T2106" s="7">
        <f>((X2098+Y2098)-(X2106+Y2106))</f>
        <v>18.100000000000023</v>
      </c>
      <c r="U2106" s="7"/>
      <c r="V2106" s="98">
        <f>T2106*M2087</f>
        <v>4072.500000000005</v>
      </c>
      <c r="W2106" s="66">
        <v>7.1527777777777787E-2</v>
      </c>
      <c r="X2106" s="7">
        <v>45</v>
      </c>
      <c r="Y2106" s="23">
        <v>94</v>
      </c>
      <c r="Z2106" s="66">
        <v>0.46527777777777773</v>
      </c>
    </row>
    <row r="2118" spans="2:26" x14ac:dyDescent="0.3">
      <c r="B2118" s="40"/>
      <c r="C2118" s="50">
        <f>AVERAGE(B2119,D2118)</f>
        <v>14566.9</v>
      </c>
      <c r="D2118" s="51">
        <f>B2119+E2119</f>
        <v>14611.9</v>
      </c>
      <c r="E2118" s="50">
        <f>AVERAGE(D2118,F2118)</f>
        <v>14656.9</v>
      </c>
      <c r="F2118" s="50">
        <f>D2118+E2119</f>
        <v>14701.9</v>
      </c>
      <c r="G2118" s="17"/>
      <c r="H2118" s="88" t="str">
        <f>IF((C2127-D2127)&gt;(C2136-D2136),"LONG",IF(C2136&gt;D2134,"LONG","SHORT"))</f>
        <v>SHORT</v>
      </c>
      <c r="I2118" s="104">
        <v>14424</v>
      </c>
      <c r="J2118" s="105" t="s">
        <v>122</v>
      </c>
      <c r="K2118" s="106">
        <v>14689</v>
      </c>
      <c r="L2118" s="17"/>
      <c r="M2118" s="94">
        <f>(244000)/4</f>
        <v>61000</v>
      </c>
      <c r="N2118" s="17"/>
      <c r="P2118" s="16"/>
      <c r="Q2118" s="149" t="s">
        <v>71</v>
      </c>
      <c r="R2118" s="149"/>
      <c r="S2118" s="149" t="s">
        <v>37</v>
      </c>
      <c r="T2118" s="149"/>
      <c r="U2118" s="89"/>
      <c r="V2118" s="17"/>
      <c r="W2118" s="90" t="s">
        <v>68</v>
      </c>
      <c r="X2118" s="91" t="s">
        <v>69</v>
      </c>
      <c r="Y2118" s="92" t="s">
        <v>70</v>
      </c>
      <c r="Z2118" s="90" t="s">
        <v>68</v>
      </c>
    </row>
    <row r="2119" spans="2:26" x14ac:dyDescent="0.3">
      <c r="B2119" s="50">
        <v>14521.9</v>
      </c>
      <c r="C2119" s="40"/>
      <c r="D2119" s="58"/>
      <c r="E2119" s="59">
        <f>ROUND((((B2119*F2119%)/4)/10),0)*10</f>
        <v>90</v>
      </c>
      <c r="F2119" s="51">
        <f>(100/B2119)*(F2128-F2137)</f>
        <v>2.5916030271520971</v>
      </c>
      <c r="G2119" s="17"/>
      <c r="H2119" s="93">
        <v>0.39166666666666666</v>
      </c>
      <c r="I2119" s="93">
        <v>0.39861111111111108</v>
      </c>
      <c r="J2119" s="93">
        <v>0.4055555555555555</v>
      </c>
      <c r="K2119" s="93">
        <v>0.41250000000000003</v>
      </c>
      <c r="L2119" s="17"/>
      <c r="N2119" s="17"/>
      <c r="P2119" s="16"/>
      <c r="Q2119" s="51">
        <f>R2119-(S2119-R2119)</f>
        <v>14367</v>
      </c>
      <c r="R2119" s="51">
        <v>14680.5</v>
      </c>
      <c r="S2119" s="51">
        <v>14994</v>
      </c>
      <c r="T2119" s="51">
        <f>S2119+(S2119-R2119)</f>
        <v>15307.5</v>
      </c>
      <c r="U2119" s="62"/>
      <c r="V2119" s="17"/>
      <c r="W2119" s="66">
        <v>0.41597222222222219</v>
      </c>
      <c r="X2119" s="7">
        <v>128.4</v>
      </c>
      <c r="Y2119" s="7">
        <v>135.69999999999999</v>
      </c>
      <c r="Z2119" s="66">
        <v>0.41597222222222219</v>
      </c>
    </row>
    <row r="2120" spans="2:26" x14ac:dyDescent="0.3">
      <c r="B2120" s="40"/>
      <c r="C2120" s="50">
        <f>AVERAGE(B2119,D2120)</f>
        <v>14476.9</v>
      </c>
      <c r="D2120" s="51">
        <f>B2119-E2119</f>
        <v>14431.9</v>
      </c>
      <c r="E2120" s="50">
        <f>AVERAGE(D2120,F2120)</f>
        <v>14386.9</v>
      </c>
      <c r="F2120" s="50">
        <f>D2120-E2119</f>
        <v>14341.9</v>
      </c>
      <c r="G2120" s="17"/>
      <c r="H2120" s="51">
        <v>14510</v>
      </c>
      <c r="I2120" s="51">
        <v>14443.35</v>
      </c>
      <c r="J2120" s="51">
        <v>14512.9</v>
      </c>
      <c r="K2120" s="51">
        <v>14503.4</v>
      </c>
      <c r="L2120" s="17"/>
      <c r="M2120" s="94">
        <f>ROUND((M2118/AVERAGE(F2131,F2133))/225,0)*75</f>
        <v>225</v>
      </c>
      <c r="N2120" s="17"/>
      <c r="P2120" s="16"/>
      <c r="Q2120" s="17"/>
      <c r="R2120" s="17"/>
      <c r="S2120" s="17"/>
      <c r="T2120" s="16"/>
      <c r="U2120" s="16"/>
      <c r="V2120" s="17"/>
      <c r="W2120" s="66">
        <v>0.4368055555555555</v>
      </c>
      <c r="X2120" s="7">
        <v>103</v>
      </c>
      <c r="Y2120" s="7">
        <v>170.8</v>
      </c>
      <c r="Z2120" s="66">
        <v>0.4368055555555555</v>
      </c>
    </row>
    <row r="2121" spans="2:26" x14ac:dyDescent="0.3">
      <c r="B2121" s="17"/>
      <c r="C2121" s="17"/>
      <c r="D2121" s="17"/>
      <c r="E2121" s="17"/>
      <c r="F2121" s="16"/>
      <c r="G2121" s="16"/>
      <c r="H2121" s="17"/>
      <c r="I2121" s="17"/>
      <c r="J2121" s="17"/>
      <c r="K2121" s="16"/>
      <c r="L2121" s="17"/>
      <c r="M2121" s="17"/>
      <c r="N2121" s="17"/>
      <c r="P2121" s="16"/>
      <c r="Q2121" s="17"/>
      <c r="R2121" s="17"/>
      <c r="S2121" s="17"/>
      <c r="T2121" s="17"/>
      <c r="U2121" s="17"/>
      <c r="V2121" s="17"/>
      <c r="W2121" s="66">
        <v>0.45763888888888887</v>
      </c>
      <c r="X2121" s="7"/>
      <c r="Y2121" s="7"/>
      <c r="Z2121" s="66">
        <v>0.45763888888888887</v>
      </c>
    </row>
    <row r="2122" spans="2:26" x14ac:dyDescent="0.3">
      <c r="B2122" s="16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P2122" s="16"/>
      <c r="Q2122" s="17"/>
      <c r="R2122" s="17"/>
      <c r="S2122" s="17"/>
      <c r="T2122" s="17"/>
      <c r="U2122" s="17"/>
      <c r="V2122" s="17"/>
      <c r="W2122" s="66">
        <v>0.47847222222222219</v>
      </c>
      <c r="X2122" s="7"/>
      <c r="Y2122" s="7"/>
      <c r="Z2122" s="66">
        <v>0.47847222222222219</v>
      </c>
    </row>
    <row r="2123" spans="2:26" x14ac:dyDescent="0.3">
      <c r="B2123" s="17"/>
      <c r="C2123" s="95">
        <v>44298</v>
      </c>
      <c r="D2123" s="17"/>
      <c r="E2123" s="17"/>
      <c r="F2123" s="7">
        <f>AVERAGE(F2125,F2134)</f>
        <v>14516.325000000001</v>
      </c>
      <c r="G2123" s="96"/>
      <c r="H2123" s="66">
        <v>0.41736111111111113</v>
      </c>
      <c r="I2123" s="66">
        <v>0.42708333333333331</v>
      </c>
      <c r="J2123" s="66">
        <v>0.4513888888888889</v>
      </c>
      <c r="K2123" s="66">
        <v>0.50347222222222221</v>
      </c>
      <c r="L2123" s="66"/>
      <c r="M2123" s="66">
        <v>0.13541666666666666</v>
      </c>
      <c r="N2123" s="17"/>
      <c r="P2123" s="16"/>
      <c r="Q2123" s="17"/>
      <c r="R2123" s="17"/>
      <c r="S2123" s="17"/>
      <c r="T2123" s="17"/>
      <c r="U2123" s="17"/>
      <c r="V2123" s="17"/>
      <c r="W2123" s="66">
        <v>0.4993055555555555</v>
      </c>
      <c r="X2123" s="7"/>
      <c r="Y2123" s="7"/>
      <c r="Z2123" s="66">
        <v>0.4993055555555555</v>
      </c>
    </row>
    <row r="2124" spans="2:26" x14ac:dyDescent="0.3">
      <c r="B2124" s="90" t="s">
        <v>68</v>
      </c>
      <c r="C2124" s="66">
        <v>0.41666666666666669</v>
      </c>
      <c r="D2124" s="66">
        <v>0.39930555555555558</v>
      </c>
      <c r="E2124" s="17"/>
      <c r="F2124" s="17"/>
      <c r="G2124" s="17"/>
      <c r="H2124" s="7">
        <v>14504.1</v>
      </c>
      <c r="I2124" s="7">
        <v>14451.5</v>
      </c>
      <c r="J2124" s="7">
        <v>14470.35</v>
      </c>
      <c r="K2124" s="23">
        <v>33.700000000000003</v>
      </c>
      <c r="L2124" s="7"/>
      <c r="M2124" s="7">
        <v>14334.35</v>
      </c>
      <c r="N2124" s="17"/>
      <c r="P2124" s="16"/>
      <c r="Q2124" s="145" t="s">
        <v>72</v>
      </c>
      <c r="R2124" s="145"/>
      <c r="S2124" s="145"/>
      <c r="T2124" s="145"/>
      <c r="U2124" s="83"/>
      <c r="V2124" s="17"/>
      <c r="W2124" s="66">
        <v>0.52013888888888882</v>
      </c>
      <c r="X2124" s="7"/>
      <c r="Y2124" s="7"/>
      <c r="Z2124" s="66">
        <v>0.52013888888888882</v>
      </c>
    </row>
    <row r="2125" spans="2:26" x14ac:dyDescent="0.3">
      <c r="B2125" s="5">
        <f>B2126-50</f>
        <v>14500</v>
      </c>
      <c r="C2125" s="7">
        <v>128.4</v>
      </c>
      <c r="D2125" s="7">
        <v>106.1</v>
      </c>
      <c r="E2125" s="16"/>
      <c r="F2125" s="7">
        <f t="shared" ref="F2125:F2130" si="159">B2125+D2125</f>
        <v>14606.1</v>
      </c>
      <c r="G2125" s="17"/>
      <c r="H2125" s="7">
        <v>122.2</v>
      </c>
      <c r="I2125" s="7">
        <v>101.55</v>
      </c>
      <c r="J2125" s="7">
        <v>105.1</v>
      </c>
      <c r="K2125" s="7">
        <v>71.650000000000006</v>
      </c>
      <c r="L2125" s="7"/>
      <c r="M2125" s="7">
        <v>58.45</v>
      </c>
      <c r="N2125" s="17"/>
      <c r="P2125" s="16"/>
      <c r="Q2125" s="34"/>
      <c r="R2125" s="34" t="s">
        <v>111</v>
      </c>
      <c r="S2125" s="34" t="s">
        <v>2</v>
      </c>
      <c r="T2125" s="34" t="s">
        <v>1</v>
      </c>
      <c r="U2125" s="84"/>
      <c r="V2125" s="17"/>
      <c r="W2125" s="66">
        <v>0.54097222222222219</v>
      </c>
      <c r="X2125" s="7"/>
      <c r="Y2125" s="7"/>
      <c r="Z2125" s="66">
        <v>0.54097222222222219</v>
      </c>
    </row>
    <row r="2126" spans="2:26" x14ac:dyDescent="0.3">
      <c r="B2126" s="5">
        <f>B2127-50</f>
        <v>14550</v>
      </c>
      <c r="C2126" s="7">
        <v>102.85</v>
      </c>
      <c r="D2126" s="7">
        <v>83.75</v>
      </c>
      <c r="E2126" s="16"/>
      <c r="F2126" s="7">
        <f t="shared" si="159"/>
        <v>14633.75</v>
      </c>
      <c r="G2126" s="17"/>
      <c r="H2126" s="7">
        <v>97.95</v>
      </c>
      <c r="I2126" s="7">
        <v>79.650000000000006</v>
      </c>
      <c r="J2126" s="7">
        <v>83</v>
      </c>
      <c r="K2126" s="7">
        <v>56.6</v>
      </c>
      <c r="L2126" s="7"/>
      <c r="M2126" s="7">
        <v>44.6</v>
      </c>
      <c r="N2126" s="17"/>
      <c r="P2126" s="16"/>
      <c r="Q2126" s="7">
        <f>(T2126-S2126)*R2126</f>
        <v>0</v>
      </c>
      <c r="R2126" s="109"/>
      <c r="S2126" s="7"/>
      <c r="T2126" s="7"/>
      <c r="U2126" s="70"/>
      <c r="V2126" s="17"/>
      <c r="W2126" s="66">
        <v>6.1805555555555558E-2</v>
      </c>
      <c r="X2126" s="7"/>
      <c r="Y2126" s="7"/>
      <c r="Z2126" s="66">
        <v>6.1805555555555558E-2</v>
      </c>
    </row>
    <row r="2127" spans="2:26" x14ac:dyDescent="0.3">
      <c r="B2127" s="97">
        <v>14600</v>
      </c>
      <c r="C2127" s="7">
        <v>79.55</v>
      </c>
      <c r="D2127" s="7">
        <v>65.75</v>
      </c>
      <c r="E2127" s="16"/>
      <c r="F2127" s="7">
        <f t="shared" si="159"/>
        <v>14665.75</v>
      </c>
      <c r="G2127" s="17"/>
      <c r="H2127" s="7">
        <v>75.849999999999994</v>
      </c>
      <c r="I2127" s="7">
        <v>60.8</v>
      </c>
      <c r="J2127" s="7">
        <v>63.8</v>
      </c>
      <c r="K2127" s="7">
        <v>44</v>
      </c>
      <c r="L2127" s="7"/>
      <c r="M2127" s="7">
        <v>33.799999999999997</v>
      </c>
      <c r="N2127" s="17"/>
      <c r="P2127" s="17"/>
      <c r="Q2127" s="7">
        <f t="shared" ref="Q2127:Q2129" si="160">(T2127-S2127)*R2127</f>
        <v>0</v>
      </c>
      <c r="R2127" s="109"/>
      <c r="S2127" s="7"/>
      <c r="T2127" s="7"/>
      <c r="U2127" s="70"/>
      <c r="V2127" s="17"/>
      <c r="W2127" s="66">
        <v>8.2638888888888887E-2</v>
      </c>
      <c r="X2127" s="7"/>
      <c r="Y2127" s="7"/>
      <c r="Z2127" s="66">
        <v>8.2638888888888887E-2</v>
      </c>
    </row>
    <row r="2128" spans="2:26" x14ac:dyDescent="0.3">
      <c r="B2128" s="5">
        <f>B2127+50</f>
        <v>14650</v>
      </c>
      <c r="C2128" s="51">
        <v>60.75</v>
      </c>
      <c r="D2128" s="23">
        <v>49.5</v>
      </c>
      <c r="E2128" s="16"/>
      <c r="F2128" s="98">
        <f t="shared" si="159"/>
        <v>14699.5</v>
      </c>
      <c r="G2128" s="17"/>
      <c r="H2128" s="7">
        <v>57.6</v>
      </c>
      <c r="I2128" s="7">
        <v>45.4</v>
      </c>
      <c r="J2128" s="7">
        <v>47.8</v>
      </c>
      <c r="K2128" s="7">
        <v>34</v>
      </c>
      <c r="L2128" s="7"/>
      <c r="M2128" s="7">
        <v>25.5</v>
      </c>
      <c r="N2128" s="17"/>
      <c r="P2128" s="17"/>
      <c r="Q2128" s="7">
        <f t="shared" si="160"/>
        <v>0</v>
      </c>
      <c r="R2128" s="109"/>
      <c r="S2128" s="18"/>
      <c r="T2128" s="18"/>
      <c r="U2128" s="101"/>
      <c r="V2128" s="17"/>
      <c r="W2128" s="17"/>
      <c r="X2128" s="17"/>
      <c r="Y2128" s="17"/>
      <c r="Z2128" s="17"/>
    </row>
    <row r="2129" spans="2:26" x14ac:dyDescent="0.3">
      <c r="B2129" s="99">
        <f>B2128+50</f>
        <v>14700</v>
      </c>
      <c r="C2129" s="7">
        <v>45.15</v>
      </c>
      <c r="D2129" s="7">
        <v>37.1</v>
      </c>
      <c r="E2129" s="16"/>
      <c r="F2129" s="7">
        <f t="shared" si="159"/>
        <v>14737.1</v>
      </c>
      <c r="G2129" s="17"/>
      <c r="H2129" s="7">
        <v>42.95</v>
      </c>
      <c r="I2129" s="7">
        <v>33.700000000000003</v>
      </c>
      <c r="J2129" s="7">
        <v>36</v>
      </c>
      <c r="K2129" s="7">
        <v>26.2</v>
      </c>
      <c r="L2129" s="7"/>
      <c r="M2129" s="7">
        <v>19.149999999999999</v>
      </c>
      <c r="N2129" s="17"/>
      <c r="P2129" s="17"/>
      <c r="Q2129" s="7">
        <f t="shared" si="160"/>
        <v>0</v>
      </c>
      <c r="R2129" s="109"/>
      <c r="S2129" s="18"/>
      <c r="T2129" s="18"/>
      <c r="U2129" s="101"/>
      <c r="V2129" s="17"/>
      <c r="W2129" s="90" t="s">
        <v>68</v>
      </c>
      <c r="X2129" s="91" t="s">
        <v>69</v>
      </c>
      <c r="Y2129" s="92" t="s">
        <v>70</v>
      </c>
      <c r="Z2129" s="90" t="s">
        <v>68</v>
      </c>
    </row>
    <row r="2130" spans="2:26" x14ac:dyDescent="0.3">
      <c r="B2130" s="5">
        <f>B2129+50</f>
        <v>14750</v>
      </c>
      <c r="C2130" s="7">
        <v>33.25</v>
      </c>
      <c r="D2130" s="7">
        <v>27.55</v>
      </c>
      <c r="E2130" s="16"/>
      <c r="F2130" s="7">
        <f t="shared" si="159"/>
        <v>14777.55</v>
      </c>
      <c r="G2130" s="16"/>
      <c r="H2130" s="7">
        <v>31.7</v>
      </c>
      <c r="I2130" s="7">
        <v>24.75</v>
      </c>
      <c r="J2130" s="7">
        <v>26.7</v>
      </c>
      <c r="K2130" s="7">
        <v>20.3</v>
      </c>
      <c r="L2130" s="7"/>
      <c r="M2130" s="7">
        <v>14.3</v>
      </c>
      <c r="N2130" s="17"/>
      <c r="P2130" s="17"/>
      <c r="Q2130" s="5" t="s">
        <v>112</v>
      </c>
      <c r="R2130" s="7">
        <f>SUM(Q2126:Q2129)</f>
        <v>0</v>
      </c>
      <c r="S2130" s="5">
        <f>SUM(S2126:S2129)</f>
        <v>0</v>
      </c>
      <c r="T2130" s="5" t="e">
        <f>(R2130/S2130)*2</f>
        <v>#DIV/0!</v>
      </c>
      <c r="U2130" s="100"/>
      <c r="V2130" s="17"/>
      <c r="W2130" s="66">
        <v>0.41597222222222219</v>
      </c>
      <c r="X2130" s="7"/>
      <c r="Y2130" s="7"/>
      <c r="Z2130" s="66">
        <v>0.41597222222222219</v>
      </c>
    </row>
    <row r="2131" spans="2:26" x14ac:dyDescent="0.3">
      <c r="B2131" s="17"/>
      <c r="C2131" s="17"/>
      <c r="D2131" s="16"/>
      <c r="E2131" s="16">
        <f>F2131-(G2131-F2131)</f>
        <v>60.399999999999991</v>
      </c>
      <c r="F2131" s="16">
        <f>AVERAGE(C2127,C2138)</f>
        <v>79.974999999999994</v>
      </c>
      <c r="G2131" s="16">
        <f>AVERAGE(C2126,C2137)</f>
        <v>99.55</v>
      </c>
      <c r="H2131" s="101"/>
      <c r="I2131" s="101"/>
      <c r="J2131" s="101"/>
      <c r="K2131" s="101"/>
      <c r="L2131" s="101"/>
      <c r="M2131" s="101"/>
      <c r="N2131" s="17"/>
      <c r="P2131" s="17"/>
      <c r="Q2131" s="17"/>
      <c r="R2131" s="17"/>
      <c r="S2131" s="17"/>
      <c r="T2131" s="17"/>
      <c r="U2131" s="17"/>
      <c r="V2131" s="16"/>
      <c r="W2131" s="66">
        <v>0.4368055555555555</v>
      </c>
      <c r="X2131" s="7"/>
      <c r="Y2131" s="7"/>
      <c r="Z2131" s="66">
        <v>0.4368055555555555</v>
      </c>
    </row>
    <row r="2132" spans="2:26" x14ac:dyDescent="0.3">
      <c r="B2132" s="17"/>
      <c r="C2132" s="95">
        <v>44301</v>
      </c>
      <c r="D2132" s="17"/>
      <c r="F2132" s="16"/>
      <c r="H2132" s="66">
        <v>0.41736111111111113</v>
      </c>
      <c r="I2132" s="66">
        <v>0.42708333333333331</v>
      </c>
      <c r="J2132" s="66">
        <v>0.4513888888888889</v>
      </c>
      <c r="K2132" s="66">
        <v>0.50347222222222221</v>
      </c>
      <c r="L2132" s="66"/>
      <c r="M2132" s="66">
        <v>0.13541666666666666</v>
      </c>
      <c r="P2132" s="17"/>
      <c r="Q2132" s="7">
        <f>(T2132-S2132)*R2132</f>
        <v>1522.5000000000009</v>
      </c>
      <c r="R2132" s="109">
        <v>75</v>
      </c>
      <c r="S2132" s="7">
        <v>88.35</v>
      </c>
      <c r="T2132" s="7">
        <v>108.65</v>
      </c>
      <c r="U2132" s="70"/>
      <c r="V2132" s="17"/>
      <c r="W2132" s="66">
        <v>0.45763888888888887</v>
      </c>
      <c r="X2132" s="7"/>
      <c r="Y2132" s="7"/>
      <c r="Z2132" s="66">
        <v>0.45763888888888887</v>
      </c>
    </row>
    <row r="2133" spans="2:26" x14ac:dyDescent="0.3">
      <c r="B2133" s="90" t="s">
        <v>68</v>
      </c>
      <c r="C2133" s="66">
        <v>0.41666666666666669</v>
      </c>
      <c r="D2133" s="66">
        <v>0.38611111111111113</v>
      </c>
      <c r="E2133" s="16">
        <f>F2133-(G2133-F2133)</f>
        <v>67.150000000000006</v>
      </c>
      <c r="F2133" s="16">
        <f>AVERAGE(C2137,C2127)</f>
        <v>87.9</v>
      </c>
      <c r="G2133" s="16">
        <f>AVERAGE(C2136,C2126)</f>
        <v>108.65</v>
      </c>
      <c r="H2133" s="23">
        <v>87.9</v>
      </c>
      <c r="I2133" s="23">
        <v>108.65</v>
      </c>
      <c r="J2133" s="23">
        <v>90.95</v>
      </c>
      <c r="K2133" s="7">
        <v>14349.55</v>
      </c>
      <c r="L2133" s="7"/>
      <c r="M2133" s="7">
        <v>14334.35</v>
      </c>
      <c r="P2133" s="17"/>
      <c r="Q2133" s="7">
        <f t="shared" ref="Q2133:Q2135" si="161">(T2133-S2133)*R2133</f>
        <v>5370</v>
      </c>
      <c r="R2133" s="109">
        <v>75</v>
      </c>
      <c r="S2133" s="7">
        <v>88.35</v>
      </c>
      <c r="T2133" s="18">
        <v>159.94999999999999</v>
      </c>
      <c r="U2133" s="101"/>
      <c r="V2133" s="17"/>
      <c r="W2133" s="66">
        <v>0.47847222222222219</v>
      </c>
      <c r="X2133" s="7"/>
      <c r="Y2133" s="7"/>
      <c r="Z2133" s="66">
        <v>0.47847222222222219</v>
      </c>
    </row>
    <row r="2134" spans="2:26" x14ac:dyDescent="0.3">
      <c r="B2134" s="5">
        <f>B2135+50</f>
        <v>14550</v>
      </c>
      <c r="C2134" s="7">
        <v>160.4</v>
      </c>
      <c r="D2134" s="7">
        <v>123.45</v>
      </c>
      <c r="E2134" s="16"/>
      <c r="F2134" s="7">
        <f t="shared" ref="F2134:F2139" si="162">B2134-D2134</f>
        <v>14426.55</v>
      </c>
      <c r="G2134" s="16"/>
      <c r="H2134" s="7">
        <v>173.05</v>
      </c>
      <c r="I2134" s="7">
        <v>204.3</v>
      </c>
      <c r="J2134" s="7">
        <v>185.1</v>
      </c>
      <c r="K2134" s="7">
        <v>278.60000000000002</v>
      </c>
      <c r="L2134" s="7"/>
      <c r="M2134" s="7">
        <v>285.55</v>
      </c>
      <c r="N2134" s="17"/>
      <c r="P2134" s="17"/>
      <c r="Q2134" s="7">
        <f t="shared" si="161"/>
        <v>0</v>
      </c>
      <c r="R2134" s="109"/>
      <c r="S2134" s="7"/>
      <c r="T2134" s="18"/>
      <c r="U2134" s="101"/>
      <c r="V2134" s="16"/>
      <c r="W2134" s="66">
        <v>0.4993055555555555</v>
      </c>
      <c r="X2134" s="7"/>
      <c r="Y2134" s="7"/>
      <c r="Z2134" s="66">
        <v>0.4993055555555555</v>
      </c>
    </row>
    <row r="2135" spans="2:26" x14ac:dyDescent="0.3">
      <c r="B2135" s="5">
        <f>B2136+50</f>
        <v>14500</v>
      </c>
      <c r="C2135" s="7">
        <v>135.69999999999999</v>
      </c>
      <c r="D2135" s="7">
        <v>110.2</v>
      </c>
      <c r="E2135" s="16"/>
      <c r="F2135" s="7">
        <f t="shared" si="162"/>
        <v>14389.8</v>
      </c>
      <c r="G2135" s="17"/>
      <c r="H2135" s="7">
        <v>147.69999999999999</v>
      </c>
      <c r="I2135" s="7">
        <v>174.85</v>
      </c>
      <c r="J2135" s="7">
        <v>156.94999999999999</v>
      </c>
      <c r="K2135" s="7">
        <v>242.65</v>
      </c>
      <c r="L2135" s="7"/>
      <c r="M2135" s="7">
        <v>249.5</v>
      </c>
      <c r="N2135" s="17"/>
      <c r="P2135" s="17"/>
      <c r="Q2135" s="7">
        <f t="shared" si="161"/>
        <v>0</v>
      </c>
      <c r="R2135" s="109"/>
      <c r="S2135" s="18"/>
      <c r="T2135" s="18"/>
      <c r="U2135" s="101"/>
      <c r="V2135" s="16"/>
      <c r="W2135" s="66">
        <v>0.52013888888888882</v>
      </c>
      <c r="X2135" s="7"/>
      <c r="Y2135" s="7"/>
      <c r="Z2135" s="66">
        <v>0.52013888888888882</v>
      </c>
    </row>
    <row r="2136" spans="2:26" x14ac:dyDescent="0.3">
      <c r="B2136" s="97">
        <v>14450</v>
      </c>
      <c r="C2136" s="7">
        <v>114.45</v>
      </c>
      <c r="D2136" s="7">
        <v>90.3</v>
      </c>
      <c r="E2136" s="16"/>
      <c r="F2136" s="7">
        <f t="shared" si="162"/>
        <v>14359.7</v>
      </c>
      <c r="G2136" s="17"/>
      <c r="H2136" s="7">
        <v>125.35</v>
      </c>
      <c r="I2136" s="7">
        <v>150.30000000000001</v>
      </c>
      <c r="J2136" s="7">
        <v>133.05000000000001</v>
      </c>
      <c r="K2136" s="7">
        <v>210.65</v>
      </c>
      <c r="L2136" s="7"/>
      <c r="M2136" s="7">
        <v>216.3</v>
      </c>
      <c r="N2136" s="17"/>
      <c r="P2136" s="17"/>
      <c r="Q2136" s="5" t="s">
        <v>112</v>
      </c>
      <c r="R2136" s="7">
        <f>SUM(Q2132:Q2135)</f>
        <v>6892.5000000000009</v>
      </c>
      <c r="S2136" s="5">
        <f>SUM(S2132:S2135)</f>
        <v>176.7</v>
      </c>
      <c r="T2136" s="5">
        <f>(R2136/S2136)*2</f>
        <v>78.01358234295418</v>
      </c>
      <c r="U2136" s="100"/>
      <c r="V2136" s="17"/>
      <c r="W2136" s="66">
        <v>0.54097222222222219</v>
      </c>
      <c r="X2136" s="7"/>
      <c r="Y2136" s="7"/>
      <c r="Z2136" s="66">
        <v>0.54097222222222219</v>
      </c>
    </row>
    <row r="2137" spans="2:26" x14ac:dyDescent="0.3">
      <c r="B2137" s="14">
        <f>B2136-50</f>
        <v>14400</v>
      </c>
      <c r="C2137" s="7">
        <v>96.25</v>
      </c>
      <c r="D2137" s="7">
        <v>76.849999999999994</v>
      </c>
      <c r="E2137" s="16"/>
      <c r="F2137" s="98">
        <f t="shared" si="162"/>
        <v>14323.15</v>
      </c>
      <c r="G2137" s="17"/>
      <c r="H2137" s="7">
        <v>106.15</v>
      </c>
      <c r="I2137" s="7">
        <v>128.1</v>
      </c>
      <c r="J2137" s="7">
        <v>111.2</v>
      </c>
      <c r="K2137" s="7">
        <v>181.5</v>
      </c>
      <c r="L2137" s="7"/>
      <c r="M2137" s="7">
        <v>186.3</v>
      </c>
      <c r="N2137" s="17"/>
      <c r="P2137" s="17"/>
      <c r="Q2137" s="17"/>
      <c r="R2137" s="17"/>
      <c r="S2137" s="17"/>
      <c r="T2137" s="17"/>
      <c r="U2137" s="17"/>
      <c r="V2137" s="17"/>
      <c r="W2137" s="66">
        <v>6.1805555555555558E-2</v>
      </c>
      <c r="X2137" s="7"/>
      <c r="Y2137" s="7"/>
      <c r="Z2137" s="66">
        <v>6.1805555555555558E-2</v>
      </c>
    </row>
    <row r="2138" spans="2:26" x14ac:dyDescent="0.3">
      <c r="B2138" s="99">
        <f>B2137-50</f>
        <v>14350</v>
      </c>
      <c r="C2138" s="51">
        <v>80.400000000000006</v>
      </c>
      <c r="D2138" s="7">
        <v>65.3</v>
      </c>
      <c r="E2138" s="16"/>
      <c r="F2138" s="7">
        <f t="shared" si="162"/>
        <v>14284.7</v>
      </c>
      <c r="G2138" s="17"/>
      <c r="H2138" s="7">
        <v>88.35</v>
      </c>
      <c r="I2138" s="7">
        <v>107.8</v>
      </c>
      <c r="J2138" s="7">
        <v>92.65</v>
      </c>
      <c r="K2138" s="7">
        <v>154.65</v>
      </c>
      <c r="L2138" s="7"/>
      <c r="M2138" s="7">
        <v>159.94999999999999</v>
      </c>
      <c r="N2138" s="17"/>
      <c r="P2138" s="17"/>
      <c r="Q2138" s="17"/>
      <c r="R2138" s="17"/>
      <c r="S2138" s="17"/>
      <c r="T2138" s="17"/>
      <c r="U2138" s="17"/>
      <c r="V2138" s="17"/>
      <c r="W2138" s="66">
        <v>8.2638888888888887E-2</v>
      </c>
      <c r="X2138" s="7"/>
      <c r="Y2138" s="7"/>
      <c r="Z2138" s="66">
        <v>8.2638888888888887E-2</v>
      </c>
    </row>
    <row r="2139" spans="2:26" x14ac:dyDescent="0.3">
      <c r="B2139" s="5">
        <f>B2138-50</f>
        <v>14300</v>
      </c>
      <c r="C2139" s="7">
        <v>67.650000000000006</v>
      </c>
      <c r="D2139" s="7">
        <v>56.15</v>
      </c>
      <c r="E2139" s="16"/>
      <c r="F2139" s="7">
        <f t="shared" si="162"/>
        <v>14243.85</v>
      </c>
      <c r="G2139" s="16">
        <f>AVERAGE(H2138,H2129)</f>
        <v>65.650000000000006</v>
      </c>
      <c r="H2139" s="7">
        <v>74.3</v>
      </c>
      <c r="I2139" s="7">
        <v>90.95</v>
      </c>
      <c r="J2139" s="7">
        <v>77</v>
      </c>
      <c r="K2139" s="7">
        <v>131.44999999999999</v>
      </c>
      <c r="L2139" s="7"/>
      <c r="M2139" s="7">
        <v>135.44999999999999</v>
      </c>
      <c r="N2139" s="17"/>
      <c r="P2139" s="77">
        <f>SUM(R2130,R2136)</f>
        <v>6892.5000000000009</v>
      </c>
      <c r="Q2139" s="92" t="s">
        <v>72</v>
      </c>
      <c r="R2139" s="17"/>
      <c r="S2139" s="92" t="s">
        <v>73</v>
      </c>
      <c r="T2139" s="7">
        <f>((X2131+Y2131)-(X2139+Y2139))</f>
        <v>0</v>
      </c>
      <c r="U2139" s="7"/>
      <c r="V2139" s="98">
        <f>T2139*M2120</f>
        <v>0</v>
      </c>
      <c r="W2139" s="66">
        <v>0.13541666666666666</v>
      </c>
      <c r="X2139" s="7"/>
      <c r="Y2139" s="7"/>
      <c r="Z2139" s="66">
        <v>0.13541666666666666</v>
      </c>
    </row>
    <row r="2141" spans="2:26" x14ac:dyDescent="0.3">
      <c r="H2141" s="40"/>
      <c r="I2141" s="40"/>
    </row>
    <row r="2151" spans="2:26" x14ac:dyDescent="0.3">
      <c r="B2151" s="40"/>
      <c r="C2151" s="50">
        <f>AVERAGE(B2152,D2151)</f>
        <v>14486.25</v>
      </c>
      <c r="D2151" s="51">
        <f>B2152+E2152</f>
        <v>14526.25</v>
      </c>
      <c r="E2151" s="50">
        <f>AVERAGE(D2151,F2151)</f>
        <v>14566.25</v>
      </c>
      <c r="F2151" s="50">
        <f>D2151+E2152</f>
        <v>14606.25</v>
      </c>
      <c r="G2151" s="17"/>
      <c r="H2151" s="88" t="str">
        <f>IF((C2160-D2160)&gt;(C2169-D2169),"LONG",IF(C2169&gt;D2167,"LONG","SHORT"))</f>
        <v>LONG</v>
      </c>
      <c r="I2151" s="104">
        <v>14304</v>
      </c>
      <c r="J2151" s="105" t="s">
        <v>122</v>
      </c>
      <c r="K2151" s="106">
        <v>14457</v>
      </c>
      <c r="L2151" s="17"/>
      <c r="M2151" s="94">
        <f>(220000)/4</f>
        <v>55000</v>
      </c>
      <c r="N2151" s="17"/>
      <c r="P2151" s="16"/>
      <c r="Q2151" s="153" t="s">
        <v>71</v>
      </c>
      <c r="R2151" s="154"/>
      <c r="S2151" s="153" t="s">
        <v>37</v>
      </c>
      <c r="T2151" s="154"/>
      <c r="U2151" s="89"/>
      <c r="V2151" s="17"/>
      <c r="W2151" s="90" t="s">
        <v>68</v>
      </c>
      <c r="X2151" s="91" t="s">
        <v>69</v>
      </c>
      <c r="Y2151" s="92" t="s">
        <v>70</v>
      </c>
      <c r="Z2151" s="90" t="s">
        <v>68</v>
      </c>
    </row>
    <row r="2152" spans="2:26" x14ac:dyDescent="0.3">
      <c r="B2152" s="50">
        <v>14446.25</v>
      </c>
      <c r="C2152" s="40"/>
      <c r="D2152" s="58"/>
      <c r="E2152" s="59">
        <f>ROUND((((B2152*F2152%)/4)/10),0)*10</f>
        <v>80</v>
      </c>
      <c r="F2152" s="51">
        <f>(100/B2152)*(F2161-F2170)</f>
        <v>2.1095439993077787</v>
      </c>
      <c r="G2152" s="17"/>
      <c r="H2152" s="93">
        <v>0.39166666666666666</v>
      </c>
      <c r="I2152" s="93">
        <v>0.39861111111111108</v>
      </c>
      <c r="J2152" s="93">
        <v>0.4055555555555555</v>
      </c>
      <c r="K2152" s="93">
        <v>0.41250000000000003</v>
      </c>
      <c r="L2152" s="17"/>
      <c r="N2152" s="17"/>
      <c r="P2152" s="16"/>
      <c r="Q2152" s="51">
        <f>R2152-(S2152-R2152)</f>
        <v>13689.8</v>
      </c>
      <c r="R2152" s="51">
        <v>14341.9</v>
      </c>
      <c r="S2152" s="51">
        <v>14994</v>
      </c>
      <c r="T2152" s="51">
        <f>S2152+(S2152-R2152)</f>
        <v>15646.1</v>
      </c>
      <c r="U2152" s="62"/>
      <c r="V2152" s="17"/>
      <c r="W2152" s="66">
        <v>0.41597222222222219</v>
      </c>
      <c r="X2152" s="7">
        <v>108</v>
      </c>
      <c r="Y2152" s="7">
        <v>119.6</v>
      </c>
      <c r="Z2152" s="66">
        <v>0.41597222222222219</v>
      </c>
    </row>
    <row r="2153" spans="2:26" x14ac:dyDescent="0.3">
      <c r="B2153" s="40"/>
      <c r="C2153" s="50">
        <f>AVERAGE(B2152,D2153)</f>
        <v>14406.25</v>
      </c>
      <c r="D2153" s="51">
        <f>B2152-E2152</f>
        <v>14366.25</v>
      </c>
      <c r="E2153" s="50">
        <f>AVERAGE(D2153,F2153)</f>
        <v>14326.25</v>
      </c>
      <c r="F2153" s="50">
        <f>D2153-E2152</f>
        <v>14286.25</v>
      </c>
      <c r="G2153" s="17"/>
      <c r="H2153" s="51">
        <v>14400.7</v>
      </c>
      <c r="I2153" s="51">
        <v>14413.9</v>
      </c>
      <c r="J2153" s="51">
        <v>14407.05</v>
      </c>
      <c r="K2153" s="51">
        <v>14448</v>
      </c>
      <c r="L2153" s="17"/>
      <c r="M2153" s="94">
        <f>ROUND((M2151/AVERAGE(F2164,F2166))/225,0)*75</f>
        <v>300</v>
      </c>
      <c r="N2153" s="17"/>
      <c r="P2153" s="16"/>
      <c r="Q2153" s="17"/>
      <c r="R2153" s="17"/>
      <c r="S2153" s="17"/>
      <c r="T2153" s="16"/>
      <c r="U2153" s="16"/>
      <c r="V2153" s="17"/>
      <c r="W2153" s="66">
        <v>0.4368055555555555</v>
      </c>
      <c r="X2153" s="7">
        <v>97.45</v>
      </c>
      <c r="Y2153" s="7">
        <v>119.35</v>
      </c>
      <c r="Z2153" s="66">
        <v>0.4368055555555555</v>
      </c>
    </row>
    <row r="2154" spans="2:26" x14ac:dyDescent="0.3">
      <c r="B2154" s="17"/>
      <c r="C2154" s="17"/>
      <c r="D2154" s="17"/>
      <c r="E2154" s="17"/>
      <c r="F2154" s="16"/>
      <c r="G2154" s="16"/>
      <c r="H2154" s="17"/>
      <c r="I2154" s="17"/>
      <c r="J2154" s="17"/>
      <c r="K2154" s="16"/>
      <c r="L2154" s="17"/>
      <c r="M2154" s="17"/>
      <c r="N2154" s="17"/>
      <c r="P2154" s="16"/>
      <c r="Q2154" s="17"/>
      <c r="R2154" s="17"/>
      <c r="S2154" s="17"/>
      <c r="T2154" s="17"/>
      <c r="U2154" s="17"/>
      <c r="V2154" s="17"/>
      <c r="W2154" s="66">
        <v>0.45763888888888887</v>
      </c>
      <c r="X2154" s="7">
        <v>79.349999999999994</v>
      </c>
      <c r="Y2154" s="7">
        <v>145.30000000000001</v>
      </c>
      <c r="Z2154" s="66">
        <v>0.45763888888888887</v>
      </c>
    </row>
    <row r="2155" spans="2:26" x14ac:dyDescent="0.3">
      <c r="B2155" s="16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P2155" s="16"/>
      <c r="Q2155" s="17"/>
      <c r="R2155" s="17"/>
      <c r="S2155" s="17"/>
      <c r="T2155" s="17"/>
      <c r="U2155" s="17"/>
      <c r="V2155" s="17"/>
      <c r="W2155" s="66">
        <v>0.47847222222222219</v>
      </c>
      <c r="X2155" s="7">
        <v>67.900000000000006</v>
      </c>
      <c r="Y2155" s="7">
        <v>154</v>
      </c>
      <c r="Z2155" s="66">
        <v>0.47847222222222219</v>
      </c>
    </row>
    <row r="2156" spans="2:26" x14ac:dyDescent="0.3">
      <c r="B2156" s="17"/>
      <c r="C2156" s="95">
        <v>44299</v>
      </c>
      <c r="D2156" s="17"/>
      <c r="E2156" s="17"/>
      <c r="F2156" s="7">
        <f>AVERAGE(F2158,F2167)</f>
        <v>14413.3</v>
      </c>
      <c r="G2156" s="96"/>
      <c r="H2156" s="66">
        <v>0.4375</v>
      </c>
      <c r="I2156" s="66">
        <v>0.4694444444444445</v>
      </c>
      <c r="J2156" s="66">
        <v>0.52083333333333337</v>
      </c>
      <c r="K2156" s="66"/>
      <c r="L2156" s="66"/>
      <c r="M2156" s="66">
        <v>0.13541666666666666</v>
      </c>
      <c r="N2156" s="17"/>
      <c r="P2156" s="16"/>
      <c r="Q2156" s="17"/>
      <c r="R2156" s="17"/>
      <c r="S2156" s="17"/>
      <c r="T2156" s="17"/>
      <c r="U2156" s="17"/>
      <c r="V2156" s="17"/>
      <c r="W2156" s="66">
        <v>0.4993055555555555</v>
      </c>
      <c r="X2156" s="7">
        <v>57.7</v>
      </c>
      <c r="Y2156" s="7">
        <v>163</v>
      </c>
      <c r="Z2156" s="66">
        <v>0.4993055555555555</v>
      </c>
    </row>
    <row r="2157" spans="2:26" x14ac:dyDescent="0.3">
      <c r="B2157" s="90" t="s">
        <v>68</v>
      </c>
      <c r="C2157" s="66">
        <v>0.41666666666666669</v>
      </c>
      <c r="D2157" s="66">
        <v>0.3888888888888889</v>
      </c>
      <c r="E2157" s="17"/>
      <c r="F2157" s="17"/>
      <c r="G2157" s="17"/>
      <c r="H2157" s="7">
        <v>14411</v>
      </c>
      <c r="I2157" s="7">
        <v>14356.1</v>
      </c>
      <c r="J2157" s="7">
        <v>14388.5</v>
      </c>
      <c r="K2157" s="7"/>
      <c r="L2157" s="7"/>
      <c r="M2157" s="7">
        <v>14540.2</v>
      </c>
      <c r="N2157" s="17"/>
      <c r="P2157" s="16"/>
      <c r="Q2157" s="150" t="s">
        <v>72</v>
      </c>
      <c r="R2157" s="151"/>
      <c r="S2157" s="151"/>
      <c r="T2157" s="152"/>
      <c r="U2157" s="83"/>
      <c r="V2157" s="17"/>
      <c r="W2157" s="66">
        <v>0.52013888888888882</v>
      </c>
      <c r="X2157" s="7">
        <v>58.55</v>
      </c>
      <c r="Y2157" s="7">
        <v>159.75</v>
      </c>
      <c r="Z2157" s="66">
        <v>0.52013888888888882</v>
      </c>
    </row>
    <row r="2158" spans="2:26" x14ac:dyDescent="0.3">
      <c r="B2158" s="5">
        <f>B2159-50</f>
        <v>14400</v>
      </c>
      <c r="C2158" s="7">
        <v>108</v>
      </c>
      <c r="D2158" s="7">
        <v>72.3</v>
      </c>
      <c r="E2158" s="16"/>
      <c r="F2158" s="7">
        <f t="shared" ref="F2158:F2163" si="163">B2158+D2158</f>
        <v>14472.3</v>
      </c>
      <c r="G2158" s="16">
        <f>AVERAGE(H2158,H2168)</f>
        <v>108.85</v>
      </c>
      <c r="H2158" s="7">
        <v>88.05</v>
      </c>
      <c r="I2158" s="7">
        <v>73.849999999999994</v>
      </c>
      <c r="J2158" s="7">
        <v>68.650000000000006</v>
      </c>
      <c r="K2158" s="7"/>
      <c r="L2158" s="7"/>
      <c r="M2158" s="7">
        <v>146.05000000000001</v>
      </c>
      <c r="N2158" s="17"/>
      <c r="P2158" s="16"/>
      <c r="Q2158" s="34"/>
      <c r="R2158" s="34" t="s">
        <v>111</v>
      </c>
      <c r="S2158" s="34" t="s">
        <v>2</v>
      </c>
      <c r="T2158" s="34" t="s">
        <v>1</v>
      </c>
      <c r="U2158" s="84"/>
      <c r="V2158" s="17"/>
      <c r="W2158" s="66">
        <v>0.54097222222222219</v>
      </c>
      <c r="X2158" s="7">
        <v>79.75</v>
      </c>
      <c r="Y2158" s="7">
        <v>122.75</v>
      </c>
      <c r="Z2158" s="66">
        <v>0.54097222222222219</v>
      </c>
    </row>
    <row r="2159" spans="2:26" x14ac:dyDescent="0.3">
      <c r="B2159" s="5">
        <f>B2160-50</f>
        <v>14450</v>
      </c>
      <c r="C2159" s="7">
        <v>80.55</v>
      </c>
      <c r="D2159" s="7">
        <v>53.65</v>
      </c>
      <c r="E2159" s="16"/>
      <c r="F2159" s="7">
        <f t="shared" si="163"/>
        <v>14503.65</v>
      </c>
      <c r="G2159" s="17"/>
      <c r="H2159" s="7">
        <v>62.85</v>
      </c>
      <c r="I2159" s="7">
        <v>44.3</v>
      </c>
      <c r="J2159" s="7">
        <v>47.7</v>
      </c>
      <c r="K2159" s="7"/>
      <c r="L2159" s="7"/>
      <c r="M2159" s="7">
        <v>107.85</v>
      </c>
      <c r="N2159" s="17"/>
      <c r="P2159" s="16"/>
      <c r="Q2159" s="7">
        <f>(T2159-S2159)*R2159</f>
        <v>0</v>
      </c>
      <c r="R2159" s="109"/>
      <c r="S2159" s="7"/>
      <c r="T2159" s="7"/>
      <c r="U2159" s="70"/>
      <c r="V2159" s="17"/>
      <c r="W2159" s="66">
        <v>6.1805555555555558E-2</v>
      </c>
      <c r="X2159" s="7">
        <v>52.95</v>
      </c>
      <c r="Y2159" s="7">
        <v>164.2</v>
      </c>
      <c r="Z2159" s="66">
        <v>6.1805555555555558E-2</v>
      </c>
    </row>
    <row r="2160" spans="2:26" x14ac:dyDescent="0.3">
      <c r="B2160" s="97">
        <v>14500</v>
      </c>
      <c r="C2160" s="7">
        <v>56.85</v>
      </c>
      <c r="D2160" s="7">
        <v>38.35</v>
      </c>
      <c r="E2160" s="16"/>
      <c r="F2160" s="7">
        <f t="shared" si="163"/>
        <v>14538.35</v>
      </c>
      <c r="G2160" s="17"/>
      <c r="H2160" s="7">
        <v>42</v>
      </c>
      <c r="I2160" s="7">
        <v>28.6</v>
      </c>
      <c r="J2160" s="7">
        <v>31.1</v>
      </c>
      <c r="K2160" s="7"/>
      <c r="L2160" s="7"/>
      <c r="M2160" s="7">
        <v>75.849999999999994</v>
      </c>
      <c r="N2160" s="17"/>
      <c r="P2160" s="16"/>
      <c r="Q2160" s="7">
        <f t="shared" ref="Q2160:Q2162" si="164">(T2160-S2160)*R2160</f>
        <v>0</v>
      </c>
      <c r="R2160" s="109"/>
      <c r="S2160" s="7"/>
      <c r="T2160" s="7"/>
      <c r="U2160" s="70"/>
      <c r="V2160" s="17"/>
      <c r="W2160" s="66">
        <v>8.2638888888888887E-2</v>
      </c>
      <c r="X2160" s="7">
        <v>108.85</v>
      </c>
      <c r="Y2160" s="7">
        <v>101.4</v>
      </c>
      <c r="Z2160" s="66">
        <v>8.2638888888888887E-2</v>
      </c>
    </row>
    <row r="2161" spans="2:26" x14ac:dyDescent="0.3">
      <c r="B2161" s="5">
        <f>B2160+50</f>
        <v>14550</v>
      </c>
      <c r="C2161" s="51">
        <v>38.299999999999997</v>
      </c>
      <c r="D2161" s="7">
        <v>27.2</v>
      </c>
      <c r="E2161" s="16"/>
      <c r="F2161" s="98">
        <f t="shared" si="163"/>
        <v>14577.2</v>
      </c>
      <c r="G2161" s="17"/>
      <c r="H2161" s="7">
        <v>26.25</v>
      </c>
      <c r="I2161" s="7">
        <v>17.7</v>
      </c>
      <c r="J2161" s="7">
        <v>19.100000000000001</v>
      </c>
      <c r="K2161" s="7"/>
      <c r="L2161" s="7"/>
      <c r="M2161" s="7">
        <v>49.3</v>
      </c>
      <c r="N2161" s="17"/>
      <c r="P2161" s="16"/>
      <c r="Q2161" s="7">
        <f t="shared" si="164"/>
        <v>0</v>
      </c>
      <c r="R2161" s="109"/>
      <c r="S2161" s="18"/>
      <c r="T2161" s="18"/>
      <c r="U2161" s="101"/>
      <c r="V2161" s="17"/>
      <c r="W2161" s="17"/>
      <c r="X2161" s="17"/>
      <c r="Y2161" s="17"/>
      <c r="Z2161" s="17"/>
    </row>
    <row r="2162" spans="2:26" x14ac:dyDescent="0.3">
      <c r="B2162" s="99">
        <f>B2161+50</f>
        <v>14600</v>
      </c>
      <c r="C2162" s="7">
        <v>24.45</v>
      </c>
      <c r="D2162" s="7">
        <v>18.2</v>
      </c>
      <c r="E2162" s="16"/>
      <c r="F2162" s="7">
        <f t="shared" si="163"/>
        <v>14618.2</v>
      </c>
      <c r="G2162" s="17"/>
      <c r="H2162" s="7">
        <v>15.5</v>
      </c>
      <c r="I2162" s="7">
        <v>10.8</v>
      </c>
      <c r="J2162" s="7">
        <v>11.75</v>
      </c>
      <c r="K2162" s="7"/>
      <c r="L2162" s="7"/>
      <c r="M2162" s="7">
        <v>29.5</v>
      </c>
      <c r="N2162" s="17"/>
      <c r="P2162" s="17"/>
      <c r="Q2162" s="7">
        <f t="shared" si="164"/>
        <v>0</v>
      </c>
      <c r="R2162" s="109"/>
      <c r="S2162" s="18"/>
      <c r="T2162" s="18"/>
      <c r="U2162" s="101"/>
      <c r="V2162" s="17"/>
      <c r="W2162" s="90" t="s">
        <v>68</v>
      </c>
      <c r="X2162" s="91" t="s">
        <v>69</v>
      </c>
      <c r="Y2162" s="92" t="s">
        <v>70</v>
      </c>
      <c r="Z2162" s="90" t="s">
        <v>68</v>
      </c>
    </row>
    <row r="2163" spans="2:26" x14ac:dyDescent="0.3">
      <c r="B2163" s="5">
        <f>B2162+50</f>
        <v>14650</v>
      </c>
      <c r="C2163" s="7">
        <v>15</v>
      </c>
      <c r="D2163" s="7">
        <v>12.45</v>
      </c>
      <c r="E2163" s="16">
        <f>E2164-(F2164-E2164)</f>
        <v>21.82500000000001</v>
      </c>
      <c r="F2163" s="7">
        <f t="shared" si="163"/>
        <v>14662.45</v>
      </c>
      <c r="G2163" s="16"/>
      <c r="H2163" s="7">
        <v>8.85</v>
      </c>
      <c r="I2163" s="7">
        <v>6.5</v>
      </c>
      <c r="J2163" s="7">
        <v>7.4</v>
      </c>
      <c r="K2163" s="7"/>
      <c r="L2163" s="7"/>
      <c r="M2163" s="7">
        <v>16.649999999999999</v>
      </c>
      <c r="N2163" s="17"/>
      <c r="P2163" s="17"/>
      <c r="Q2163" s="5" t="s">
        <v>112</v>
      </c>
      <c r="R2163" s="7">
        <f>SUM(Q2159:Q2162)</f>
        <v>0</v>
      </c>
      <c r="S2163" s="5">
        <f>SUM(S2159:S2162)</f>
        <v>0</v>
      </c>
      <c r="T2163" s="5" t="e">
        <f>(R2163/S2163)*2</f>
        <v>#DIV/0!</v>
      </c>
      <c r="U2163" s="100"/>
      <c r="V2163" s="17"/>
      <c r="W2163" s="66">
        <v>0.41597222222222219</v>
      </c>
      <c r="X2163" s="7">
        <v>38.299999999999997</v>
      </c>
      <c r="Y2163" s="7">
        <v>63.6</v>
      </c>
      <c r="Z2163" s="66">
        <v>0.41597222222222219</v>
      </c>
    </row>
    <row r="2164" spans="2:26" x14ac:dyDescent="0.3">
      <c r="B2164" s="17"/>
      <c r="C2164" s="17"/>
      <c r="D2164" s="16"/>
      <c r="E2164" s="16">
        <f>F2164-(G2164-F2164)</f>
        <v>41.025000000000006</v>
      </c>
      <c r="F2164" s="16">
        <f>AVERAGE(C2160,C2171)</f>
        <v>60.225000000000001</v>
      </c>
      <c r="G2164" s="16">
        <f>AVERAGE(C2159,C2170)</f>
        <v>79.424999999999997</v>
      </c>
      <c r="H2164" s="101"/>
      <c r="I2164" s="101"/>
      <c r="J2164" s="101"/>
      <c r="K2164" s="101"/>
      <c r="L2164" s="101"/>
      <c r="M2164" s="101"/>
      <c r="N2164" s="17"/>
      <c r="P2164" s="17"/>
      <c r="Q2164" s="17"/>
      <c r="R2164" s="17"/>
      <c r="S2164" s="17"/>
      <c r="T2164" s="17"/>
      <c r="U2164" s="17"/>
      <c r="V2164" s="16"/>
      <c r="W2164" s="66">
        <v>0.4368055555555555</v>
      </c>
      <c r="X2164" s="7">
        <v>30.5</v>
      </c>
      <c r="Y2164" s="7">
        <v>63.1</v>
      </c>
      <c r="Z2164" s="66">
        <v>0.4368055555555555</v>
      </c>
    </row>
    <row r="2165" spans="2:26" x14ac:dyDescent="0.3">
      <c r="B2165" s="17"/>
      <c r="C2165" s="95">
        <v>44301</v>
      </c>
      <c r="D2165" s="17"/>
      <c r="F2165" s="16"/>
      <c r="H2165" s="66">
        <v>0.4375</v>
      </c>
      <c r="I2165" s="66">
        <v>0.4694444444444445</v>
      </c>
      <c r="J2165" s="66">
        <v>0.52083333333333337</v>
      </c>
      <c r="K2165" s="66"/>
      <c r="L2165" s="66"/>
      <c r="M2165" s="66">
        <v>0.14583333333333334</v>
      </c>
      <c r="P2165" s="17"/>
      <c r="Q2165" s="7">
        <f>(T2165-S2165)*R2165</f>
        <v>1447.4999999999998</v>
      </c>
      <c r="R2165" s="109">
        <v>75</v>
      </c>
      <c r="S2165" s="7">
        <v>69.3</v>
      </c>
      <c r="T2165" s="18">
        <v>88.6</v>
      </c>
      <c r="U2165" s="101"/>
      <c r="V2165" s="17"/>
      <c r="W2165" s="66">
        <v>0.45763888888888887</v>
      </c>
      <c r="X2165" s="7">
        <v>22.95</v>
      </c>
      <c r="Y2165" s="7">
        <v>77.650000000000006</v>
      </c>
      <c r="Z2165" s="66">
        <v>0.45763888888888887</v>
      </c>
    </row>
    <row r="2166" spans="2:26" x14ac:dyDescent="0.3">
      <c r="B2166" s="90" t="s">
        <v>68</v>
      </c>
      <c r="C2166" s="66">
        <v>0.41666666666666669</v>
      </c>
      <c r="D2166" s="66">
        <v>0.4152777777777778</v>
      </c>
      <c r="E2166" s="16">
        <f>F2166-(G2166-F2166)</f>
        <v>46.475000000000009</v>
      </c>
      <c r="F2166" s="16">
        <f>AVERAGE(C2170,C2160)</f>
        <v>67.575000000000003</v>
      </c>
      <c r="G2166" s="16">
        <f>AVERAGE(C2169,C2159)</f>
        <v>88.674999999999997</v>
      </c>
      <c r="H2166" s="23">
        <v>67.5</v>
      </c>
      <c r="I2166" s="23">
        <v>88.6</v>
      </c>
      <c r="J2166" s="23">
        <v>72.75</v>
      </c>
      <c r="K2166" s="7"/>
      <c r="L2166" s="7"/>
      <c r="M2166" s="7">
        <v>14540.2</v>
      </c>
      <c r="P2166" s="17"/>
      <c r="Q2166" s="7">
        <f t="shared" ref="Q2166:Q2168" si="165">(T2166-S2166)*R2166</f>
        <v>-352.50000000000023</v>
      </c>
      <c r="R2166" s="109">
        <v>75</v>
      </c>
      <c r="S2166" s="7">
        <v>69.3</v>
      </c>
      <c r="T2166" s="7">
        <v>64.599999999999994</v>
      </c>
      <c r="U2166" s="70"/>
      <c r="V2166" s="17"/>
      <c r="W2166" s="66">
        <v>0.47847222222222219</v>
      </c>
      <c r="X2166" s="7">
        <v>18</v>
      </c>
      <c r="Y2166" s="7">
        <v>81.5</v>
      </c>
      <c r="Z2166" s="66">
        <v>0.47847222222222219</v>
      </c>
    </row>
    <row r="2167" spans="2:26" x14ac:dyDescent="0.3">
      <c r="B2167" s="5">
        <f>B2168+50</f>
        <v>14500</v>
      </c>
      <c r="C2167" s="7">
        <v>146.15</v>
      </c>
      <c r="D2167" s="7">
        <v>145.69999999999999</v>
      </c>
      <c r="E2167" s="16">
        <f>E2166-(F2166-E2166)</f>
        <v>25.375000000000014</v>
      </c>
      <c r="F2167" s="7">
        <f t="shared" ref="F2167:F2172" si="166">B2167-D2167</f>
        <v>14354.3</v>
      </c>
      <c r="G2167" s="16"/>
      <c r="H2167" s="7">
        <v>158.5</v>
      </c>
      <c r="I2167" s="7">
        <v>201.15</v>
      </c>
      <c r="J2167" s="7">
        <v>172.5</v>
      </c>
      <c r="K2167" s="7"/>
      <c r="L2167" s="7"/>
      <c r="M2167" s="7">
        <v>75.5</v>
      </c>
      <c r="N2167" s="17"/>
      <c r="P2167" s="16"/>
      <c r="Q2167" s="7">
        <f t="shared" si="165"/>
        <v>0</v>
      </c>
      <c r="R2167" s="109"/>
      <c r="S2167" s="7"/>
      <c r="T2167" s="18"/>
      <c r="U2167" s="101"/>
      <c r="V2167" s="16"/>
      <c r="W2167" s="66">
        <v>0.4993055555555555</v>
      </c>
      <c r="X2167" s="7">
        <v>14.35</v>
      </c>
      <c r="Y2167" s="7">
        <v>85.6</v>
      </c>
      <c r="Z2167" s="66">
        <v>0.4993055555555555</v>
      </c>
    </row>
    <row r="2168" spans="2:26" x14ac:dyDescent="0.3">
      <c r="B2168" s="5">
        <f>B2169+50</f>
        <v>14450</v>
      </c>
      <c r="C2168" s="7">
        <v>119.6</v>
      </c>
      <c r="D2168" s="7">
        <v>118.6</v>
      </c>
      <c r="E2168" s="16"/>
      <c r="F2168" s="7">
        <f t="shared" si="166"/>
        <v>14331.4</v>
      </c>
      <c r="G2168" s="17"/>
      <c r="H2168" s="7">
        <v>129.65</v>
      </c>
      <c r="I2168" s="7">
        <v>167</v>
      </c>
      <c r="J2168" s="7">
        <v>139.44999999999999</v>
      </c>
      <c r="K2168" s="7"/>
      <c r="L2168" s="7"/>
      <c r="M2168" s="7">
        <v>57.9</v>
      </c>
      <c r="N2168" s="17"/>
      <c r="P2168" s="17"/>
      <c r="Q2168" s="7">
        <f t="shared" si="165"/>
        <v>0</v>
      </c>
      <c r="R2168" s="109"/>
      <c r="S2168" s="18"/>
      <c r="T2168" s="18"/>
      <c r="U2168" s="101"/>
      <c r="V2168" s="16"/>
      <c r="W2168" s="66">
        <v>0.52013888888888882</v>
      </c>
      <c r="X2168" s="7">
        <v>14.85</v>
      </c>
      <c r="Y2168" s="7">
        <v>82.4</v>
      </c>
      <c r="Z2168" s="66">
        <v>0.52013888888888882</v>
      </c>
    </row>
    <row r="2169" spans="2:26" x14ac:dyDescent="0.3">
      <c r="B2169" s="97">
        <v>14400</v>
      </c>
      <c r="C2169" s="7">
        <v>96.8</v>
      </c>
      <c r="D2169" s="7">
        <v>95.9</v>
      </c>
      <c r="E2169" s="16"/>
      <c r="F2169" s="7">
        <f t="shared" si="166"/>
        <v>14304.1</v>
      </c>
      <c r="G2169" s="17"/>
      <c r="H2169" s="7">
        <v>104.9</v>
      </c>
      <c r="I2169" s="7">
        <v>137.44999999999999</v>
      </c>
      <c r="J2169" s="7">
        <v>110.5</v>
      </c>
      <c r="K2169" s="7"/>
      <c r="L2169" s="7"/>
      <c r="M2169" s="7">
        <v>45.5</v>
      </c>
      <c r="N2169" s="17"/>
      <c r="P2169" s="17"/>
      <c r="Q2169" s="5" t="s">
        <v>112</v>
      </c>
      <c r="R2169" s="7">
        <f>SUM(Q2165:Q2168)</f>
        <v>1094.9999999999995</v>
      </c>
      <c r="S2169" s="5">
        <f>SUM(S2165:S2168)</f>
        <v>138.6</v>
      </c>
      <c r="T2169" s="7">
        <f>(R2169/S2169)*2</f>
        <v>15.800865800865795</v>
      </c>
      <c r="U2169" s="70"/>
      <c r="V2169" s="17"/>
      <c r="W2169" s="66">
        <v>0.54097222222222219</v>
      </c>
      <c r="X2169" s="7">
        <v>23.6</v>
      </c>
      <c r="Y2169" s="7">
        <v>59.65</v>
      </c>
      <c r="Z2169" s="66">
        <v>0.54097222222222219</v>
      </c>
    </row>
    <row r="2170" spans="2:26" x14ac:dyDescent="0.3">
      <c r="B2170" s="14">
        <f>B2169-50</f>
        <v>14350</v>
      </c>
      <c r="C2170" s="7">
        <v>78.3</v>
      </c>
      <c r="D2170" s="23">
        <v>77.55</v>
      </c>
      <c r="E2170" s="16"/>
      <c r="F2170" s="98">
        <f t="shared" si="166"/>
        <v>14272.45</v>
      </c>
      <c r="G2170" s="17"/>
      <c r="H2170" s="7">
        <v>85.05</v>
      </c>
      <c r="I2170" s="7">
        <v>111.65</v>
      </c>
      <c r="J2170" s="7">
        <v>87.6</v>
      </c>
      <c r="K2170" s="7"/>
      <c r="L2170" s="7"/>
      <c r="M2170" s="7">
        <v>35.6</v>
      </c>
      <c r="N2170" s="17"/>
      <c r="P2170" s="17"/>
      <c r="Q2170" s="17"/>
      <c r="R2170" s="17"/>
      <c r="S2170" s="17"/>
      <c r="T2170" s="17"/>
      <c r="U2170" s="17"/>
      <c r="V2170" s="17"/>
      <c r="W2170" s="66">
        <v>6.1805555555555558E-2</v>
      </c>
      <c r="X2170" s="7">
        <v>14.05</v>
      </c>
      <c r="Y2170" s="7">
        <v>81.25</v>
      </c>
      <c r="Z2170" s="66">
        <v>6.1805555555555558E-2</v>
      </c>
    </row>
    <row r="2171" spans="2:26" x14ac:dyDescent="0.3">
      <c r="B2171" s="99">
        <f>B2170-50</f>
        <v>14300</v>
      </c>
      <c r="C2171" s="51">
        <v>63.6</v>
      </c>
      <c r="D2171" s="7">
        <v>63.4</v>
      </c>
      <c r="E2171" s="16"/>
      <c r="F2171" s="7">
        <f t="shared" si="166"/>
        <v>14236.6</v>
      </c>
      <c r="G2171" s="16">
        <f>MIN(AVERAGE(H2168,G2172),G2158)</f>
        <v>108.85</v>
      </c>
      <c r="H2171" s="7">
        <v>69.3</v>
      </c>
      <c r="I2171" s="7">
        <v>90.45</v>
      </c>
      <c r="J2171" s="7">
        <v>68.95</v>
      </c>
      <c r="K2171" s="7"/>
      <c r="L2171" s="7"/>
      <c r="M2171" s="7">
        <v>28.45</v>
      </c>
      <c r="N2171" s="17"/>
      <c r="P2171" s="17"/>
      <c r="Q2171" s="17"/>
      <c r="R2171" s="17"/>
      <c r="S2171" s="17"/>
      <c r="T2171" s="17"/>
      <c r="U2171" s="17"/>
      <c r="V2171" s="17"/>
      <c r="W2171" s="66">
        <v>8.2638888888888887E-2</v>
      </c>
      <c r="X2171" s="7">
        <v>35.950000000000003</v>
      </c>
      <c r="Y2171" s="7">
        <v>50.2</v>
      </c>
      <c r="Z2171" s="66">
        <v>8.2638888888888887E-2</v>
      </c>
    </row>
    <row r="2172" spans="2:26" x14ac:dyDescent="0.3">
      <c r="B2172" s="5">
        <f>B2171-50</f>
        <v>14250</v>
      </c>
      <c r="C2172" s="7">
        <v>51.9</v>
      </c>
      <c r="D2172" s="7">
        <v>51.5</v>
      </c>
      <c r="E2172" s="16"/>
      <c r="F2172" s="7">
        <f t="shared" si="166"/>
        <v>14198.5</v>
      </c>
      <c r="G2172" s="16">
        <f>AVERAGE(H2168:H2171)</f>
        <v>97.225000000000009</v>
      </c>
      <c r="H2172" s="7">
        <v>56.5</v>
      </c>
      <c r="I2172" s="7">
        <v>72.75</v>
      </c>
      <c r="J2172" s="7">
        <v>54.8</v>
      </c>
      <c r="K2172" s="7"/>
      <c r="L2172" s="7"/>
      <c r="M2172" s="7">
        <v>22.85</v>
      </c>
      <c r="N2172" s="17"/>
      <c r="P2172" s="98">
        <f>SUM(R2163,R2169)</f>
        <v>1094.9999999999995</v>
      </c>
      <c r="Q2172" s="92" t="s">
        <v>72</v>
      </c>
      <c r="R2172" s="17"/>
      <c r="S2172" s="92" t="s">
        <v>73</v>
      </c>
      <c r="T2172" s="7">
        <f>((X2164+Y2164)-(X2172+Y2172))</f>
        <v>6.0999999999999943</v>
      </c>
      <c r="U2172" s="7"/>
      <c r="V2172" s="98">
        <f>T2172*M2153</f>
        <v>1829.9999999999982</v>
      </c>
      <c r="W2172" s="66">
        <v>0.4694444444444445</v>
      </c>
      <c r="X2172" s="7">
        <v>18.2</v>
      </c>
      <c r="Y2172" s="23">
        <v>69.3</v>
      </c>
      <c r="Z2172" s="66">
        <v>0.4375</v>
      </c>
    </row>
    <row r="2184" spans="2:26" x14ac:dyDescent="0.3">
      <c r="B2184" s="40"/>
      <c r="C2184" s="50">
        <f>AVERAGE(B2185,D2184)</f>
        <v>14562.5</v>
      </c>
      <c r="D2184" s="51">
        <f>B2185+E2185</f>
        <v>14622.5</v>
      </c>
      <c r="E2184" s="50">
        <f>AVERAGE(D2184,F2184)</f>
        <v>14682.5</v>
      </c>
      <c r="F2184" s="50">
        <f>D2184+E2185</f>
        <v>14742.5</v>
      </c>
      <c r="G2184" s="17"/>
      <c r="H2184" s="88" t="str">
        <f>IF((C2193-D2193)&gt;(C2202-D2202),"LONG",IF(C2202&gt;D2200,"LONG","SHORT"))</f>
        <v>LONG</v>
      </c>
      <c r="I2184" s="104">
        <v>14468</v>
      </c>
      <c r="J2184" s="105" t="s">
        <v>122</v>
      </c>
      <c r="K2184" s="106">
        <v>14615</v>
      </c>
      <c r="L2184" s="17"/>
      <c r="M2184" s="94">
        <f>(224000)/4</f>
        <v>56000</v>
      </c>
      <c r="N2184" s="17"/>
      <c r="P2184" s="16"/>
      <c r="Q2184" s="149" t="s">
        <v>71</v>
      </c>
      <c r="R2184" s="149"/>
      <c r="S2184" s="149" t="s">
        <v>37</v>
      </c>
      <c r="T2184" s="149"/>
      <c r="U2184" s="89"/>
      <c r="V2184" s="17"/>
      <c r="W2184" s="90" t="s">
        <v>68</v>
      </c>
      <c r="X2184" s="91" t="s">
        <v>69</v>
      </c>
      <c r="Y2184" s="92" t="s">
        <v>70</v>
      </c>
      <c r="Z2184" s="90" t="s">
        <v>68</v>
      </c>
    </row>
    <row r="2185" spans="2:26" x14ac:dyDescent="0.3">
      <c r="B2185" s="50">
        <v>14502.5</v>
      </c>
      <c r="C2185" s="40"/>
      <c r="D2185" s="58"/>
      <c r="E2185" s="59">
        <f>ROUND((((B2185*F2185%)/4)/10),0)*10</f>
        <v>120</v>
      </c>
      <c r="F2185" s="51">
        <f>(100/B2185)*(F2194-F2203)</f>
        <v>3.2494397517669369</v>
      </c>
      <c r="G2185" s="17"/>
      <c r="H2185" s="93">
        <v>0.39166666666666666</v>
      </c>
      <c r="I2185" s="93">
        <v>0.39861111111111108</v>
      </c>
      <c r="J2185" s="93">
        <v>0.4055555555555555</v>
      </c>
      <c r="K2185" s="93">
        <v>0.41250000000000003</v>
      </c>
      <c r="L2185" s="17"/>
      <c r="N2185" s="17"/>
      <c r="P2185" s="16"/>
      <c r="Q2185" s="51">
        <f>R2185-(S2185-R2185)</f>
        <v>13658.5</v>
      </c>
      <c r="R2185" s="51">
        <v>14326.25</v>
      </c>
      <c r="S2185" s="51">
        <v>14994</v>
      </c>
      <c r="T2185" s="51">
        <f>S2185+(S2185-R2185)</f>
        <v>15661.75</v>
      </c>
      <c r="U2185" s="62"/>
      <c r="V2185" s="17"/>
      <c r="W2185" s="66">
        <v>0.41597222222222219</v>
      </c>
      <c r="X2185" s="7">
        <v>160.94999999999999</v>
      </c>
      <c r="Y2185" s="7">
        <v>158.30000000000001</v>
      </c>
      <c r="Z2185" s="66">
        <v>0.41597222222222219</v>
      </c>
    </row>
    <row r="2186" spans="2:26" x14ac:dyDescent="0.3">
      <c r="B2186" s="40"/>
      <c r="C2186" s="50">
        <f>AVERAGE(B2185,D2186)</f>
        <v>14442.5</v>
      </c>
      <c r="D2186" s="51">
        <f>B2185-E2185</f>
        <v>14382.5</v>
      </c>
      <c r="E2186" s="50">
        <f>AVERAGE(D2186,F2186)</f>
        <v>14322.5</v>
      </c>
      <c r="F2186" s="50">
        <f>D2186-E2185</f>
        <v>14262.5</v>
      </c>
      <c r="G2186" s="17"/>
      <c r="H2186" s="51">
        <v>14604.1</v>
      </c>
      <c r="I2186" s="51">
        <v>14566.4</v>
      </c>
      <c r="J2186" s="51">
        <v>14515.5</v>
      </c>
      <c r="K2186" s="51">
        <v>14470</v>
      </c>
      <c r="L2186" s="17"/>
      <c r="M2186" s="94">
        <f>EVEN(ROUND((M2184/AVERAGE(F2197,F2199))/150,0))*75</f>
        <v>300</v>
      </c>
      <c r="N2186" s="17"/>
      <c r="P2186" s="16"/>
      <c r="Q2186" s="17"/>
      <c r="R2186" s="17"/>
      <c r="S2186" s="17"/>
      <c r="T2186" s="16"/>
      <c r="U2186" s="16"/>
      <c r="V2186" s="17"/>
      <c r="W2186" s="66">
        <v>0.4368055555555555</v>
      </c>
      <c r="X2186" s="7">
        <v>127.35</v>
      </c>
      <c r="Y2186" s="7">
        <v>192.25</v>
      </c>
      <c r="Z2186" s="66">
        <v>0.4368055555555555</v>
      </c>
    </row>
    <row r="2187" spans="2:26" x14ac:dyDescent="0.3">
      <c r="B2187" s="17"/>
      <c r="C2187" s="17"/>
      <c r="D2187" s="17"/>
      <c r="E2187" s="17"/>
      <c r="F2187" s="16"/>
      <c r="G2187" s="16"/>
      <c r="H2187" s="17"/>
      <c r="I2187" s="17"/>
      <c r="J2187" s="17"/>
      <c r="K2187" s="16"/>
      <c r="L2187" s="17"/>
      <c r="M2187" s="17"/>
      <c r="N2187" s="17"/>
      <c r="P2187" s="16"/>
      <c r="Q2187" s="17"/>
      <c r="R2187" s="17"/>
      <c r="S2187" s="17"/>
      <c r="T2187" s="17"/>
      <c r="U2187" s="17"/>
      <c r="V2187" s="17"/>
      <c r="W2187" s="66">
        <v>0.45763888888888887</v>
      </c>
      <c r="X2187" s="7">
        <v>130</v>
      </c>
      <c r="Y2187" s="7">
        <v>191.45</v>
      </c>
      <c r="Z2187" s="66">
        <v>0.45763888888888887</v>
      </c>
    </row>
    <row r="2188" spans="2:26" x14ac:dyDescent="0.3">
      <c r="B2188" s="16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P2188" s="16"/>
      <c r="Q2188" s="17"/>
      <c r="R2188" s="17"/>
      <c r="S2188" s="17"/>
      <c r="T2188" s="17"/>
      <c r="U2188" s="17"/>
      <c r="V2188" s="17"/>
      <c r="W2188" s="66">
        <v>0.47847222222222219</v>
      </c>
      <c r="X2188" s="7">
        <v>115</v>
      </c>
      <c r="Y2188" s="7">
        <v>208.9</v>
      </c>
      <c r="Z2188" s="66">
        <v>0.47847222222222219</v>
      </c>
    </row>
    <row r="2189" spans="2:26" x14ac:dyDescent="0.3">
      <c r="B2189" s="17"/>
      <c r="C2189" s="95">
        <v>44301</v>
      </c>
      <c r="D2189" s="17"/>
      <c r="E2189" s="17"/>
      <c r="F2189" s="7">
        <f>AVERAGE(F2191,F2200)</f>
        <v>14506.599999999999</v>
      </c>
      <c r="G2189" s="96"/>
      <c r="H2189" s="66">
        <v>0.42777777777777781</v>
      </c>
      <c r="I2189" s="66">
        <v>0.43958333333333338</v>
      </c>
      <c r="J2189" s="66">
        <v>0.44930555555555557</v>
      </c>
      <c r="K2189" s="66"/>
      <c r="L2189" s="66"/>
      <c r="M2189" s="66">
        <v>0.13541666666666666</v>
      </c>
      <c r="N2189" s="17"/>
      <c r="P2189" s="16"/>
      <c r="Q2189" s="17"/>
      <c r="R2189" s="17"/>
      <c r="S2189" s="17"/>
      <c r="T2189" s="17"/>
      <c r="U2189" s="17"/>
      <c r="V2189" s="17"/>
      <c r="W2189" s="66">
        <v>0.4993055555555555</v>
      </c>
      <c r="X2189" s="7">
        <v>128.94999999999999</v>
      </c>
      <c r="Y2189" s="7">
        <v>187.3</v>
      </c>
      <c r="Z2189" s="66">
        <v>0.4993055555555555</v>
      </c>
    </row>
    <row r="2190" spans="2:26" x14ac:dyDescent="0.3">
      <c r="B2190" s="90" t="s">
        <v>68</v>
      </c>
      <c r="C2190" s="66">
        <v>0.41666666666666669</v>
      </c>
      <c r="D2190" s="66">
        <v>0.41250000000000003</v>
      </c>
      <c r="E2190" s="17"/>
      <c r="F2190" s="17"/>
      <c r="G2190" s="17"/>
      <c r="H2190" s="7">
        <v>14467</v>
      </c>
      <c r="I2190" s="7">
        <v>14415.1</v>
      </c>
      <c r="J2190" s="7">
        <v>14456.65</v>
      </c>
      <c r="K2190" s="7"/>
      <c r="L2190" s="7"/>
      <c r="M2190" s="7">
        <v>14595.6</v>
      </c>
      <c r="N2190" s="17"/>
      <c r="P2190" s="16"/>
      <c r="Q2190" s="145" t="s">
        <v>72</v>
      </c>
      <c r="R2190" s="145"/>
      <c r="S2190" s="145"/>
      <c r="T2190" s="145"/>
      <c r="U2190" s="83"/>
      <c r="V2190" s="17"/>
      <c r="W2190" s="66">
        <v>0.52013888888888882</v>
      </c>
      <c r="X2190" s="7">
        <v>132.80000000000001</v>
      </c>
      <c r="Y2190" s="7">
        <v>182.25</v>
      </c>
      <c r="Z2190" s="66">
        <v>0.52013888888888882</v>
      </c>
    </row>
    <row r="2191" spans="2:26" x14ac:dyDescent="0.3">
      <c r="B2191" s="5">
        <f>B2192-50</f>
        <v>14500</v>
      </c>
      <c r="C2191" s="7">
        <v>160.94999999999999</v>
      </c>
      <c r="D2191" s="7">
        <v>146.9</v>
      </c>
      <c r="E2191" s="16"/>
      <c r="F2191" s="7">
        <f t="shared" ref="F2191:F2196" si="167">B2191+D2191</f>
        <v>14646.9</v>
      </c>
      <c r="G2191" s="17"/>
      <c r="H2191" s="7">
        <v>145</v>
      </c>
      <c r="I2191" s="7">
        <v>123.25</v>
      </c>
      <c r="J2191" s="7">
        <v>138.6</v>
      </c>
      <c r="K2191" s="7"/>
      <c r="L2191" s="7"/>
      <c r="M2191" s="7">
        <v>207.4</v>
      </c>
      <c r="N2191" s="17"/>
      <c r="P2191" s="16"/>
      <c r="Q2191" s="34"/>
      <c r="R2191" s="34" t="s">
        <v>111</v>
      </c>
      <c r="S2191" s="34" t="s">
        <v>2</v>
      </c>
      <c r="T2191" s="34" t="s">
        <v>1</v>
      </c>
      <c r="U2191" s="84"/>
      <c r="V2191" s="17"/>
      <c r="W2191" s="66">
        <v>0.54097222222222219</v>
      </c>
      <c r="X2191" s="7">
        <v>140.15</v>
      </c>
      <c r="Y2191" s="7">
        <v>175.65</v>
      </c>
      <c r="Z2191" s="66">
        <v>0.54097222222222219</v>
      </c>
    </row>
    <row r="2192" spans="2:26" x14ac:dyDescent="0.3">
      <c r="B2192" s="5">
        <f>B2193-50</f>
        <v>14550</v>
      </c>
      <c r="C2192" s="7">
        <v>135.25</v>
      </c>
      <c r="D2192" s="7">
        <v>123.05</v>
      </c>
      <c r="E2192" s="16"/>
      <c r="F2192" s="7">
        <f t="shared" si="167"/>
        <v>14673.05</v>
      </c>
      <c r="G2192" s="17"/>
      <c r="H2192" s="7">
        <v>120.2</v>
      </c>
      <c r="I2192" s="7">
        <v>102</v>
      </c>
      <c r="J2192" s="7">
        <v>116</v>
      </c>
      <c r="K2192" s="7"/>
      <c r="L2192" s="7"/>
      <c r="M2192" s="7">
        <v>176.35</v>
      </c>
      <c r="N2192" s="17"/>
      <c r="P2192" s="17"/>
      <c r="Q2192" s="7">
        <f>(T2192-S2192)*R2192</f>
        <v>0</v>
      </c>
      <c r="R2192" s="109"/>
      <c r="S2192" s="7"/>
      <c r="T2192" s="7"/>
      <c r="U2192" s="70"/>
      <c r="V2192" s="17"/>
      <c r="W2192" s="66">
        <v>6.1805555555555558E-2</v>
      </c>
      <c r="X2192" s="7">
        <v>134.30000000000001</v>
      </c>
      <c r="Y2192" s="7">
        <v>178</v>
      </c>
      <c r="Z2192" s="66">
        <v>6.1805555555555558E-2</v>
      </c>
    </row>
    <row r="2193" spans="2:26" x14ac:dyDescent="0.3">
      <c r="B2193" s="97">
        <v>14600</v>
      </c>
      <c r="C2193" s="7">
        <v>111.75</v>
      </c>
      <c r="D2193" s="7">
        <v>100.55</v>
      </c>
      <c r="E2193" s="16"/>
      <c r="F2193" s="7">
        <f t="shared" si="167"/>
        <v>14700.55</v>
      </c>
      <c r="G2193" s="17"/>
      <c r="H2193" s="7">
        <v>98.6</v>
      </c>
      <c r="I2193" s="7">
        <v>83.3</v>
      </c>
      <c r="J2193" s="7">
        <v>94.3</v>
      </c>
      <c r="K2193" s="7"/>
      <c r="L2193" s="7"/>
      <c r="M2193" s="7">
        <v>146.35</v>
      </c>
      <c r="N2193" s="17"/>
      <c r="P2193" s="17"/>
      <c r="Q2193" s="7">
        <f t="shared" ref="Q2193:Q2195" si="168">(T2193-S2193)*R2193</f>
        <v>0</v>
      </c>
      <c r="R2193" s="109"/>
      <c r="S2193" s="7"/>
      <c r="T2193" s="7"/>
      <c r="U2193" s="70"/>
      <c r="V2193" s="17"/>
      <c r="W2193" s="66">
        <v>8.2638888888888887E-2</v>
      </c>
      <c r="X2193" s="7">
        <v>153.94999999999999</v>
      </c>
      <c r="Y2193" s="7">
        <v>158.5</v>
      </c>
      <c r="Z2193" s="66">
        <v>8.2638888888888887E-2</v>
      </c>
    </row>
    <row r="2194" spans="2:26" x14ac:dyDescent="0.3">
      <c r="B2194" s="5">
        <f>B2193+50</f>
        <v>14650</v>
      </c>
      <c r="C2194" s="51">
        <v>90.65</v>
      </c>
      <c r="D2194" s="23">
        <v>80.099999999999994</v>
      </c>
      <c r="E2194" s="16"/>
      <c r="F2194" s="98">
        <f t="shared" si="167"/>
        <v>14730.1</v>
      </c>
      <c r="G2194" s="17"/>
      <c r="H2194" s="7">
        <v>78.95</v>
      </c>
      <c r="I2194" s="7">
        <v>67.400000000000006</v>
      </c>
      <c r="J2194" s="7">
        <v>76.45</v>
      </c>
      <c r="K2194" s="7"/>
      <c r="L2194" s="7"/>
      <c r="M2194" s="7">
        <v>120</v>
      </c>
      <c r="N2194" s="17"/>
      <c r="P2194" s="17"/>
      <c r="Q2194" s="7">
        <f t="shared" si="168"/>
        <v>0</v>
      </c>
      <c r="R2194" s="109"/>
      <c r="S2194" s="18"/>
      <c r="T2194" s="18"/>
      <c r="U2194" s="101"/>
      <c r="V2194" s="17"/>
      <c r="W2194" s="17"/>
      <c r="X2194" s="17"/>
      <c r="Y2194" s="17"/>
      <c r="Z2194" s="17"/>
    </row>
    <row r="2195" spans="2:26" x14ac:dyDescent="0.3">
      <c r="B2195" s="99">
        <f>B2194+50</f>
        <v>14700</v>
      </c>
      <c r="C2195" s="7">
        <v>72.2</v>
      </c>
      <c r="D2195" s="7">
        <v>64.3</v>
      </c>
      <c r="E2195" s="16"/>
      <c r="F2195" s="7">
        <f t="shared" si="167"/>
        <v>14764.3</v>
      </c>
      <c r="G2195" s="17"/>
      <c r="H2195" s="7">
        <v>63.4</v>
      </c>
      <c r="I2195" s="7">
        <v>53.95</v>
      </c>
      <c r="J2195" s="7">
        <v>61.1</v>
      </c>
      <c r="K2195" s="7"/>
      <c r="L2195" s="7"/>
      <c r="M2195" s="7">
        <v>97</v>
      </c>
      <c r="N2195" s="17"/>
      <c r="P2195" s="17"/>
      <c r="Q2195" s="7">
        <f t="shared" si="168"/>
        <v>0</v>
      </c>
      <c r="R2195" s="109"/>
      <c r="S2195" s="18"/>
      <c r="T2195" s="18"/>
      <c r="U2195" s="101"/>
      <c r="V2195" s="17"/>
      <c r="W2195" s="90" t="s">
        <v>68</v>
      </c>
      <c r="X2195" s="91" t="s">
        <v>69</v>
      </c>
      <c r="Y2195" s="92" t="s">
        <v>70</v>
      </c>
      <c r="Z2195" s="90" t="s">
        <v>68</v>
      </c>
    </row>
    <row r="2196" spans="2:26" x14ac:dyDescent="0.3">
      <c r="B2196" s="5">
        <f>B2195+50</f>
        <v>14750</v>
      </c>
      <c r="C2196" s="7">
        <v>56.75</v>
      </c>
      <c r="D2196" s="7">
        <v>50</v>
      </c>
      <c r="E2196" s="16">
        <f>E2197-(F2197-E2197)</f>
        <v>70.375</v>
      </c>
      <c r="F2196" s="7">
        <f t="shared" si="167"/>
        <v>14800</v>
      </c>
      <c r="G2196" s="16"/>
      <c r="H2196" s="7">
        <v>49.9</v>
      </c>
      <c r="I2196" s="7">
        <v>43.25</v>
      </c>
      <c r="J2196" s="7">
        <v>48.2</v>
      </c>
      <c r="K2196" s="7"/>
      <c r="L2196" s="7"/>
      <c r="M2196" s="7">
        <v>77</v>
      </c>
      <c r="N2196" s="17"/>
      <c r="P2196" s="17"/>
      <c r="Q2196" s="5" t="s">
        <v>112</v>
      </c>
      <c r="R2196" s="7">
        <f>SUM(Q2192:Q2195)</f>
        <v>0</v>
      </c>
      <c r="S2196" s="5">
        <f>SUM(S2192:S2195)</f>
        <v>0</v>
      </c>
      <c r="T2196" s="5" t="e">
        <f>(R2196/S2196)*2</f>
        <v>#DIV/0!</v>
      </c>
      <c r="U2196" s="100"/>
      <c r="V2196" s="17"/>
      <c r="W2196" s="66">
        <v>0.41597222222222219</v>
      </c>
      <c r="X2196" s="7">
        <v>90.65</v>
      </c>
      <c r="Y2196" s="7">
        <v>108</v>
      </c>
      <c r="Z2196" s="66">
        <v>0.41597222222222219</v>
      </c>
    </row>
    <row r="2197" spans="2:26" x14ac:dyDescent="0.3">
      <c r="B2197" s="17"/>
      <c r="C2197" s="17"/>
      <c r="D2197" s="16"/>
      <c r="E2197" s="16">
        <f>F2197-(G2197-F2197)</f>
        <v>90.125</v>
      </c>
      <c r="F2197" s="16">
        <f>AVERAGE(C2193,C2204)</f>
        <v>109.875</v>
      </c>
      <c r="G2197" s="16">
        <f>AVERAGE(C2192,C2203)</f>
        <v>129.625</v>
      </c>
      <c r="H2197" s="101"/>
      <c r="I2197" s="101"/>
      <c r="J2197" s="101"/>
      <c r="K2197" s="101"/>
      <c r="L2197" s="101"/>
      <c r="M2197" s="101"/>
      <c r="N2197" s="17"/>
      <c r="P2197" s="17"/>
      <c r="Q2197" s="17"/>
      <c r="R2197" s="17"/>
      <c r="S2197" s="17"/>
      <c r="T2197" s="17"/>
      <c r="U2197" s="17"/>
      <c r="V2197" s="16"/>
      <c r="W2197" s="66">
        <v>0.4368055555555555</v>
      </c>
      <c r="X2197" s="7">
        <v>69.7</v>
      </c>
      <c r="Y2197" s="7">
        <v>131.1</v>
      </c>
      <c r="Z2197" s="66">
        <v>0.4368055555555555</v>
      </c>
    </row>
    <row r="2198" spans="2:26" x14ac:dyDescent="0.3">
      <c r="B2198" s="17"/>
      <c r="C2198" s="95">
        <v>44308</v>
      </c>
      <c r="D2198" s="17"/>
      <c r="F2198" s="16"/>
      <c r="H2198" s="66">
        <v>0.42777777777777781</v>
      </c>
      <c r="I2198" s="66">
        <v>0.43958333333333338</v>
      </c>
      <c r="J2198" s="66">
        <v>0.44930555555555557</v>
      </c>
      <c r="K2198" s="66"/>
      <c r="L2198" s="66"/>
      <c r="M2198" s="66">
        <v>0.13541666666666666</v>
      </c>
      <c r="P2198" s="17"/>
      <c r="Q2198" s="7">
        <f>(T2198-S2198)*R2198</f>
        <v>1537.5</v>
      </c>
      <c r="R2198" s="109">
        <v>75</v>
      </c>
      <c r="S2198" s="7">
        <v>116.65</v>
      </c>
      <c r="T2198" s="7">
        <v>137.15</v>
      </c>
      <c r="U2198" s="70"/>
      <c r="V2198" s="17"/>
      <c r="W2198" s="66">
        <v>0.45763888888888887</v>
      </c>
      <c r="X2198" s="7">
        <v>71.650000000000006</v>
      </c>
      <c r="Y2198" s="7">
        <v>129.9</v>
      </c>
      <c r="Z2198" s="66">
        <v>0.45763888888888887</v>
      </c>
    </row>
    <row r="2199" spans="2:26" x14ac:dyDescent="0.3">
      <c r="B2199" s="90" t="s">
        <v>68</v>
      </c>
      <c r="C2199" s="66">
        <v>0.41666666666666669</v>
      </c>
      <c r="D2199" s="66">
        <v>0.39305555555555555</v>
      </c>
      <c r="E2199" s="16">
        <f>F2199-(G2199-F2199)</f>
        <v>98.6</v>
      </c>
      <c r="F2199" s="16">
        <f>AVERAGE(C2203,C2193)</f>
        <v>117.875</v>
      </c>
      <c r="G2199" s="16">
        <f>AVERAGE(C2202,C2192)</f>
        <v>137.15</v>
      </c>
      <c r="H2199" s="23">
        <v>117.8</v>
      </c>
      <c r="I2199" s="23">
        <v>137.15</v>
      </c>
      <c r="J2199" s="23">
        <v>122.6</v>
      </c>
      <c r="K2199" s="7"/>
      <c r="L2199" s="7"/>
      <c r="M2199" s="7">
        <v>14595.6</v>
      </c>
      <c r="P2199" s="17"/>
      <c r="Q2199" s="7">
        <f t="shared" ref="Q2199:Q2201" si="169">(T2199-S2199)*R2199</f>
        <v>-326.25000000000063</v>
      </c>
      <c r="R2199" s="109">
        <v>75</v>
      </c>
      <c r="S2199" s="7">
        <v>116.65</v>
      </c>
      <c r="T2199" s="7">
        <v>112.3</v>
      </c>
      <c r="U2199" s="70"/>
      <c r="V2199" s="17"/>
      <c r="W2199" s="66">
        <v>0.47847222222222219</v>
      </c>
      <c r="X2199" s="7">
        <v>62.5</v>
      </c>
      <c r="Y2199" s="7">
        <v>143.80000000000001</v>
      </c>
      <c r="Z2199" s="66">
        <v>0.47847222222222219</v>
      </c>
    </row>
    <row r="2200" spans="2:26" x14ac:dyDescent="0.3">
      <c r="B2200" s="5">
        <f>B2201+50</f>
        <v>14500</v>
      </c>
      <c r="C2200" s="7">
        <v>179.65</v>
      </c>
      <c r="D2200" s="7">
        <v>133.69999999999999</v>
      </c>
      <c r="E2200" s="16">
        <f>E2199-(F2199-E2199)</f>
        <v>79.324999999999989</v>
      </c>
      <c r="F2200" s="7">
        <f t="shared" ref="F2200:F2205" si="170">B2200-D2200</f>
        <v>14366.3</v>
      </c>
      <c r="G2200" s="16"/>
      <c r="H2200" s="7">
        <v>196.1</v>
      </c>
      <c r="I2200" s="7">
        <v>228.9</v>
      </c>
      <c r="J2200" s="7">
        <v>201.55</v>
      </c>
      <c r="K2200" s="7"/>
      <c r="L2200" s="7"/>
      <c r="M2200" s="7">
        <v>133.80000000000001</v>
      </c>
      <c r="N2200" s="17"/>
      <c r="P2200" s="17"/>
      <c r="Q2200" s="7">
        <f t="shared" si="169"/>
        <v>0</v>
      </c>
      <c r="R2200" s="109"/>
      <c r="S2200" s="18"/>
      <c r="T2200" s="18"/>
      <c r="U2200" s="101"/>
      <c r="V2200" s="16"/>
      <c r="W2200" s="66">
        <v>0.4993055555555555</v>
      </c>
      <c r="X2200" s="7">
        <v>69.150000000000006</v>
      </c>
      <c r="Y2200" s="7">
        <v>127.05</v>
      </c>
      <c r="Z2200" s="66">
        <v>0.4993055555555555</v>
      </c>
    </row>
    <row r="2201" spans="2:26" x14ac:dyDescent="0.3">
      <c r="B2201" s="5">
        <f>B2202+50</f>
        <v>14450</v>
      </c>
      <c r="C2201" s="7">
        <v>158.30000000000001</v>
      </c>
      <c r="D2201" s="7">
        <v>118.1</v>
      </c>
      <c r="E2201" s="16"/>
      <c r="F2201" s="7">
        <f t="shared" si="170"/>
        <v>14331.9</v>
      </c>
      <c r="G2201" s="17"/>
      <c r="H2201" s="7">
        <v>172.25</v>
      </c>
      <c r="I2201" s="7">
        <v>203.3</v>
      </c>
      <c r="J2201" s="7">
        <v>178.1</v>
      </c>
      <c r="K2201" s="7"/>
      <c r="L2201" s="7"/>
      <c r="M2201" s="7">
        <v>116.25</v>
      </c>
      <c r="N2201" s="17"/>
      <c r="P2201" s="17"/>
      <c r="Q2201" s="7">
        <f t="shared" si="169"/>
        <v>0</v>
      </c>
      <c r="R2201" s="109"/>
      <c r="S2201" s="18"/>
      <c r="T2201" s="18"/>
      <c r="U2201" s="101"/>
      <c r="V2201" s="16"/>
      <c r="W2201" s="66">
        <v>0.52013888888888882</v>
      </c>
      <c r="X2201" s="7">
        <v>72.150000000000006</v>
      </c>
      <c r="Y2201" s="7">
        <v>122.55</v>
      </c>
      <c r="Z2201" s="66">
        <v>0.52013888888888882</v>
      </c>
    </row>
    <row r="2202" spans="2:26" x14ac:dyDescent="0.3">
      <c r="B2202" s="97">
        <v>14400</v>
      </c>
      <c r="C2202" s="7">
        <v>139.05000000000001</v>
      </c>
      <c r="D2202" s="7">
        <v>103.8</v>
      </c>
      <c r="E2202" s="16"/>
      <c r="F2202" s="7">
        <f t="shared" si="170"/>
        <v>14296.2</v>
      </c>
      <c r="G2202" s="17"/>
      <c r="H2202" s="7">
        <v>151.75</v>
      </c>
      <c r="I2202" s="7">
        <v>179</v>
      </c>
      <c r="J2202" s="7">
        <v>157.6</v>
      </c>
      <c r="K2202" s="7"/>
      <c r="L2202" s="7"/>
      <c r="M2202" s="7">
        <v>101.5</v>
      </c>
      <c r="N2202" s="17"/>
      <c r="P2202" s="17"/>
      <c r="Q2202" s="5" t="s">
        <v>112</v>
      </c>
      <c r="R2202" s="7">
        <f>SUM(Q2198:Q2201)</f>
        <v>1211.2499999999993</v>
      </c>
      <c r="S2202" s="5">
        <f>SUM(S2198:S2201)</f>
        <v>233.3</v>
      </c>
      <c r="T2202" s="5">
        <f>(R2202/S2202)*2</f>
        <v>10.383626232318896</v>
      </c>
      <c r="U2202" s="100"/>
      <c r="V2202" s="17"/>
      <c r="W2202" s="66">
        <v>0.54097222222222219</v>
      </c>
      <c r="X2202" s="7">
        <v>76.3</v>
      </c>
      <c r="Y2202" s="7">
        <v>119.35</v>
      </c>
      <c r="Z2202" s="66">
        <v>0.54097222222222219</v>
      </c>
    </row>
    <row r="2203" spans="2:26" x14ac:dyDescent="0.3">
      <c r="B2203" s="14">
        <f>B2202-50</f>
        <v>14350</v>
      </c>
      <c r="C2203" s="7">
        <v>124</v>
      </c>
      <c r="D2203" s="23">
        <v>91.15</v>
      </c>
      <c r="E2203" s="16"/>
      <c r="F2203" s="98">
        <f t="shared" si="170"/>
        <v>14258.85</v>
      </c>
      <c r="G2203" s="17"/>
      <c r="H2203" s="7">
        <v>135</v>
      </c>
      <c r="I2203" s="7">
        <v>158.65</v>
      </c>
      <c r="J2203" s="7">
        <v>138.9</v>
      </c>
      <c r="K2203" s="7"/>
      <c r="L2203" s="7"/>
      <c r="M2203" s="7">
        <v>88.65</v>
      </c>
      <c r="N2203" s="17"/>
      <c r="P2203" s="17"/>
      <c r="Q2203" s="17"/>
      <c r="R2203" s="17"/>
      <c r="S2203" s="17"/>
      <c r="T2203" s="17"/>
      <c r="U2203" s="17"/>
      <c r="V2203" s="17"/>
      <c r="W2203" s="66">
        <v>6.1805555555555558E-2</v>
      </c>
      <c r="X2203" s="7">
        <v>72.95</v>
      </c>
      <c r="Y2203" s="7">
        <v>119.9</v>
      </c>
      <c r="Z2203" s="66">
        <v>6.1805555555555558E-2</v>
      </c>
    </row>
    <row r="2204" spans="2:26" x14ac:dyDescent="0.3">
      <c r="B2204" s="99">
        <f>B2203-50</f>
        <v>14300</v>
      </c>
      <c r="C2204" s="51">
        <v>108</v>
      </c>
      <c r="D2204" s="7">
        <v>79.900000000000006</v>
      </c>
      <c r="E2204" s="16"/>
      <c r="F2204" s="7">
        <f t="shared" si="170"/>
        <v>14220.1</v>
      </c>
      <c r="G2204" s="17"/>
      <c r="H2204" s="7">
        <v>116.65</v>
      </c>
      <c r="I2204" s="7">
        <v>139</v>
      </c>
      <c r="J2204" s="7">
        <v>121.25</v>
      </c>
      <c r="K2204" s="7"/>
      <c r="L2204" s="7"/>
      <c r="M2204" s="7">
        <v>77.8</v>
      </c>
      <c r="N2204" s="17"/>
      <c r="P2204" s="17"/>
      <c r="Q2204" s="17"/>
      <c r="R2204" s="17"/>
      <c r="S2204" s="17"/>
      <c r="T2204" s="17"/>
      <c r="U2204" s="17"/>
      <c r="V2204" s="17"/>
      <c r="W2204" s="66">
        <v>8.2638888888888887E-2</v>
      </c>
      <c r="X2204" s="7">
        <v>84.75</v>
      </c>
      <c r="Y2204" s="7">
        <v>107.8</v>
      </c>
      <c r="Z2204" s="66">
        <v>8.2638888888888887E-2</v>
      </c>
    </row>
    <row r="2205" spans="2:26" x14ac:dyDescent="0.3">
      <c r="B2205" s="5">
        <f>B2204-50</f>
        <v>14250</v>
      </c>
      <c r="C2205" s="7">
        <v>95</v>
      </c>
      <c r="D2205" s="7">
        <v>71.2</v>
      </c>
      <c r="E2205" s="16"/>
      <c r="F2205" s="7">
        <f t="shared" si="170"/>
        <v>14178.8</v>
      </c>
      <c r="G2205" s="101">
        <f>AVERAGE(H2204,H2195)</f>
        <v>90.025000000000006</v>
      </c>
      <c r="H2205" s="7">
        <v>102.15</v>
      </c>
      <c r="I2205" s="7">
        <v>122.6</v>
      </c>
      <c r="J2205" s="7">
        <v>105.55</v>
      </c>
      <c r="K2205" s="7"/>
      <c r="L2205" s="7"/>
      <c r="M2205" s="7">
        <v>68.2</v>
      </c>
      <c r="N2205" s="17"/>
      <c r="P2205" s="98">
        <f>SUM(R2196,R2202)</f>
        <v>1211.2499999999993</v>
      </c>
      <c r="Q2205" s="92" t="s">
        <v>72</v>
      </c>
      <c r="R2205" s="17"/>
      <c r="S2205" s="92" t="s">
        <v>73</v>
      </c>
      <c r="T2205" s="7">
        <f>((X2197+Y2197)-(X2205+Y2205))</f>
        <v>6.3000000000000114</v>
      </c>
      <c r="U2205" s="7"/>
      <c r="V2205" s="98">
        <f>T2205*M2186</f>
        <v>1890.0000000000034</v>
      </c>
      <c r="W2205" s="66">
        <v>0.4465277777777778</v>
      </c>
      <c r="X2205" s="7">
        <v>63.4</v>
      </c>
      <c r="Y2205" s="23">
        <v>131.1</v>
      </c>
      <c r="Z2205" s="66">
        <v>0.4368055555555555</v>
      </c>
    </row>
    <row r="2217" spans="2:26" x14ac:dyDescent="0.3">
      <c r="B2217" s="40"/>
      <c r="C2217" s="50">
        <f>AVERAGE(B2218,D2217)</f>
        <v>14723.1</v>
      </c>
      <c r="D2217" s="51">
        <f>B2218+E2218</f>
        <v>14773.1</v>
      </c>
      <c r="E2217" s="50">
        <f>AVERAGE(D2217,F2217)</f>
        <v>14823.1</v>
      </c>
      <c r="F2217" s="50">
        <f>D2217+E2218</f>
        <v>14873.1</v>
      </c>
      <c r="G2217" s="17"/>
      <c r="H2217" s="88" t="str">
        <f>IF((C2226-D2226)&gt;(C2235-D2235),"LONG",IF(C2235&gt;D2233,"LONG","SHORT"))</f>
        <v>LONG</v>
      </c>
      <c r="I2217" s="104">
        <v>14582</v>
      </c>
      <c r="J2217" s="105" t="s">
        <v>122</v>
      </c>
      <c r="K2217" s="106">
        <v>14685</v>
      </c>
      <c r="L2217" s="17"/>
      <c r="M2217" s="94">
        <f>(232000)/4</f>
        <v>58000</v>
      </c>
      <c r="N2217" s="17"/>
      <c r="P2217" s="16"/>
      <c r="Q2217" s="149" t="s">
        <v>71</v>
      </c>
      <c r="R2217" s="149"/>
      <c r="S2217" s="149" t="s">
        <v>37</v>
      </c>
      <c r="T2217" s="149"/>
      <c r="U2217" s="89"/>
      <c r="V2217" s="17"/>
      <c r="W2217" s="90" t="s">
        <v>68</v>
      </c>
      <c r="X2217" s="91" t="s">
        <v>69</v>
      </c>
      <c r="Y2217" s="92" t="s">
        <v>70</v>
      </c>
      <c r="Z2217" s="90" t="s">
        <v>68</v>
      </c>
    </row>
    <row r="2218" spans="2:26" x14ac:dyDescent="0.3">
      <c r="B2218" s="50">
        <v>14673.1</v>
      </c>
      <c r="C2218" s="40"/>
      <c r="D2218" s="58"/>
      <c r="E2218" s="59">
        <f>ROUND((((B2218*F2218%)/4)/10),0)*10</f>
        <v>100</v>
      </c>
      <c r="F2218" s="51">
        <f>(100/B2218)*(F2227-F2236)</f>
        <v>2.7897990199753315</v>
      </c>
      <c r="G2218" s="17"/>
      <c r="H2218" s="93">
        <v>0.39166666666666666</v>
      </c>
      <c r="I2218" s="93">
        <v>0.39861111111111108</v>
      </c>
      <c r="J2218" s="93">
        <v>0.4055555555555555</v>
      </c>
      <c r="K2218" s="93">
        <v>0.41250000000000003</v>
      </c>
      <c r="L2218" s="17"/>
      <c r="N2218" s="17"/>
      <c r="P2218" s="16"/>
      <c r="Q2218" s="51">
        <f>R2218-(S2218-R2218)</f>
        <v>13658.5</v>
      </c>
      <c r="R2218" s="51">
        <v>14326.25</v>
      </c>
      <c r="S2218" s="51">
        <v>14994</v>
      </c>
      <c r="T2218" s="51">
        <f>S2218+(S2218-R2218)</f>
        <v>15661.75</v>
      </c>
      <c r="U2218" s="62"/>
      <c r="V2218" s="17"/>
      <c r="W2218" s="66">
        <v>0.41597222222222219</v>
      </c>
      <c r="X2218" s="7">
        <v>121.45</v>
      </c>
      <c r="Y2218" s="7">
        <v>124.7</v>
      </c>
      <c r="Z2218" s="66">
        <v>0.41597222222222219</v>
      </c>
    </row>
    <row r="2219" spans="2:26" x14ac:dyDescent="0.3">
      <c r="B2219" s="40"/>
      <c r="C2219" s="50">
        <f>AVERAGE(B2218,D2219)</f>
        <v>14623.1</v>
      </c>
      <c r="D2219" s="51">
        <f>B2218-E2218</f>
        <v>14573.1</v>
      </c>
      <c r="E2219" s="50">
        <f>AVERAGE(D2219,F2219)</f>
        <v>14523.1</v>
      </c>
      <c r="F2219" s="50">
        <f>D2219-E2218</f>
        <v>14473.1</v>
      </c>
      <c r="G2219" s="17"/>
      <c r="H2219" s="51">
        <v>14614</v>
      </c>
      <c r="I2219" s="51">
        <v>14658.4</v>
      </c>
      <c r="J2219" s="51">
        <v>14653</v>
      </c>
      <c r="K2219" s="51">
        <v>14680.65</v>
      </c>
      <c r="L2219" s="17"/>
      <c r="M2219" s="94">
        <f>ROUND((M2217/AVERAGE(F2230,F2232))/225,0)*75</f>
        <v>225</v>
      </c>
      <c r="N2219" s="17"/>
      <c r="P2219" s="16"/>
      <c r="Q2219" s="17"/>
      <c r="R2219" s="17"/>
      <c r="S2219" s="17"/>
      <c r="T2219" s="16"/>
      <c r="U2219" s="16"/>
      <c r="V2219" s="17"/>
      <c r="W2219" s="66">
        <v>0.4368055555555555</v>
      </c>
      <c r="X2219" s="7">
        <v>126.8</v>
      </c>
      <c r="Y2219" s="7">
        <v>121.8</v>
      </c>
      <c r="Z2219" s="66">
        <v>0.4368055555555555</v>
      </c>
    </row>
    <row r="2220" spans="2:26" x14ac:dyDescent="0.3">
      <c r="B2220" s="17"/>
      <c r="C2220" s="17"/>
      <c r="D2220" s="17"/>
      <c r="E2220" s="17"/>
      <c r="F2220" s="16"/>
      <c r="G2220" s="16"/>
      <c r="H2220" s="17"/>
      <c r="I2220" s="17"/>
      <c r="J2220" s="17"/>
      <c r="K2220" s="16"/>
      <c r="L2220" s="17"/>
      <c r="M2220" s="17"/>
      <c r="N2220" s="17"/>
      <c r="P2220" s="16"/>
      <c r="Q2220" s="17"/>
      <c r="R2220" s="17"/>
      <c r="S2220" s="17"/>
      <c r="T2220" s="17"/>
      <c r="U2220" s="17"/>
      <c r="V2220" s="17"/>
      <c r="W2220" s="66">
        <v>0.45763888888888887</v>
      </c>
      <c r="X2220" s="7">
        <v>123.35</v>
      </c>
      <c r="Y2220" s="7">
        <v>124</v>
      </c>
      <c r="Z2220" s="66">
        <v>0.45763888888888887</v>
      </c>
    </row>
    <row r="2221" spans="2:26" x14ac:dyDescent="0.3">
      <c r="B2221" s="16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P2221" s="16"/>
      <c r="Q2221" s="17"/>
      <c r="R2221" s="17"/>
      <c r="S2221" s="17"/>
      <c r="T2221" s="17"/>
      <c r="U2221" s="17"/>
      <c r="V2221" s="17"/>
      <c r="W2221" s="66">
        <v>0.47847222222222219</v>
      </c>
      <c r="X2221" s="7">
        <v>133.85</v>
      </c>
      <c r="Y2221" s="7">
        <v>112.2</v>
      </c>
      <c r="Z2221" s="66">
        <v>0.47847222222222219</v>
      </c>
    </row>
    <row r="2222" spans="2:26" x14ac:dyDescent="0.3">
      <c r="B2222" s="17"/>
      <c r="C2222" s="95">
        <v>44302</v>
      </c>
      <c r="D2222" s="17"/>
      <c r="E2222" s="17"/>
      <c r="F2222" s="7">
        <f>AVERAGE(F2224,F2233)</f>
        <v>14649.75</v>
      </c>
      <c r="G2222" s="96"/>
      <c r="H2222" s="66">
        <v>0.41875000000000001</v>
      </c>
      <c r="I2222" s="66">
        <v>8.3333333333333329E-2</v>
      </c>
      <c r="J2222" s="66"/>
      <c r="K2222" s="66"/>
      <c r="L2222" s="66"/>
      <c r="M2222" s="66">
        <v>0.13541666666666666</v>
      </c>
      <c r="N2222" s="17"/>
      <c r="P2222" s="16"/>
      <c r="Q2222" s="17"/>
      <c r="R2222" s="17"/>
      <c r="S2222" s="17"/>
      <c r="T2222" s="17"/>
      <c r="U2222" s="17"/>
      <c r="V2222" s="17"/>
      <c r="W2222" s="66">
        <v>0.4993055555555555</v>
      </c>
      <c r="X2222" s="7">
        <v>119</v>
      </c>
      <c r="Y2222" s="7">
        <v>123.5</v>
      </c>
      <c r="Z2222" s="66">
        <v>0.4993055555555555</v>
      </c>
    </row>
    <row r="2223" spans="2:26" x14ac:dyDescent="0.3">
      <c r="B2223" s="90" t="s">
        <v>68</v>
      </c>
      <c r="C2223" s="66">
        <v>0.41666666666666669</v>
      </c>
      <c r="D2223" s="66">
        <v>0.38958333333333334</v>
      </c>
      <c r="E2223" s="17"/>
      <c r="F2223" s="17"/>
      <c r="G2223" s="17"/>
      <c r="H2223" s="7">
        <v>14660.7</v>
      </c>
      <c r="I2223" s="7">
        <v>14683.75</v>
      </c>
      <c r="J2223" s="7"/>
      <c r="K2223" s="7"/>
      <c r="L2223" s="7"/>
      <c r="M2223" s="7">
        <v>14642</v>
      </c>
      <c r="N2223" s="17"/>
      <c r="P2223" s="17"/>
      <c r="Q2223" s="145" t="s">
        <v>72</v>
      </c>
      <c r="R2223" s="145"/>
      <c r="S2223" s="145"/>
      <c r="T2223" s="145"/>
      <c r="U2223" s="83"/>
      <c r="V2223" s="17"/>
      <c r="W2223" s="66">
        <v>0.52013888888888882</v>
      </c>
      <c r="X2223" s="7">
        <v>113</v>
      </c>
      <c r="Y2223" s="7">
        <v>125.4</v>
      </c>
      <c r="Z2223" s="66">
        <v>0.52013888888888882</v>
      </c>
    </row>
    <row r="2224" spans="2:26" x14ac:dyDescent="0.3">
      <c r="B2224" s="5">
        <f>B2225-50</f>
        <v>14650</v>
      </c>
      <c r="C2224" s="7">
        <v>148.6</v>
      </c>
      <c r="D2224" s="7">
        <v>112.2</v>
      </c>
      <c r="E2224" s="16"/>
      <c r="F2224" s="7">
        <f t="shared" ref="F2224:F2229" si="171">B2224+D2224</f>
        <v>14762.2</v>
      </c>
      <c r="G2224" s="17"/>
      <c r="H2224" s="7">
        <v>142.35</v>
      </c>
      <c r="I2224" s="7">
        <v>143.05000000000001</v>
      </c>
      <c r="J2224" s="7"/>
      <c r="K2224" s="7"/>
      <c r="L2224" s="7"/>
      <c r="M2224" s="7">
        <v>118.9</v>
      </c>
      <c r="N2224" s="17"/>
      <c r="P2224" s="17"/>
      <c r="Q2224" s="34"/>
      <c r="R2224" s="34" t="s">
        <v>111</v>
      </c>
      <c r="S2224" s="34" t="s">
        <v>2</v>
      </c>
      <c r="T2224" s="34" t="s">
        <v>1</v>
      </c>
      <c r="U2224" s="84"/>
      <c r="V2224" s="17"/>
      <c r="W2224" s="66">
        <v>0.54097222222222219</v>
      </c>
      <c r="X2224" s="7">
        <v>120.4</v>
      </c>
      <c r="Y2224" s="7">
        <v>115.55</v>
      </c>
      <c r="Z2224" s="66">
        <v>0.54097222222222219</v>
      </c>
    </row>
    <row r="2225" spans="2:26" x14ac:dyDescent="0.3">
      <c r="B2225" s="5">
        <f>B2226-50</f>
        <v>14700</v>
      </c>
      <c r="C2225" s="7">
        <v>121.45</v>
      </c>
      <c r="D2225" s="7">
        <v>90.15</v>
      </c>
      <c r="E2225" s="16"/>
      <c r="F2225" s="7">
        <f t="shared" si="171"/>
        <v>14790.15</v>
      </c>
      <c r="G2225" s="17"/>
      <c r="H2225" s="7">
        <v>115.35</v>
      </c>
      <c r="I2225" s="7">
        <v>116.9</v>
      </c>
      <c r="J2225" s="7"/>
      <c r="K2225" s="7"/>
      <c r="L2225" s="7"/>
      <c r="M2225" s="7">
        <v>94.9</v>
      </c>
      <c r="N2225" s="17"/>
      <c r="P2225" s="17"/>
      <c r="Q2225" s="7">
        <f>(T2225-S2225)*R2225</f>
        <v>0</v>
      </c>
      <c r="R2225" s="109"/>
      <c r="S2225" s="7"/>
      <c r="T2225" s="7"/>
      <c r="U2225" s="70"/>
      <c r="V2225" s="17"/>
      <c r="W2225" s="66">
        <v>6.1805555555555558E-2</v>
      </c>
      <c r="X2225" s="7">
        <v>113.15</v>
      </c>
      <c r="Y2225" s="7">
        <v>119.95</v>
      </c>
      <c r="Z2225" s="66">
        <v>6.1805555555555558E-2</v>
      </c>
    </row>
    <row r="2226" spans="2:26" x14ac:dyDescent="0.3">
      <c r="B2226" s="97">
        <v>14750</v>
      </c>
      <c r="C2226" s="7">
        <v>97.1</v>
      </c>
      <c r="D2226" s="7">
        <v>70.2</v>
      </c>
      <c r="E2226" s="16"/>
      <c r="F2226" s="7">
        <f t="shared" si="171"/>
        <v>14820.2</v>
      </c>
      <c r="G2226" s="17"/>
      <c r="H2226" s="7">
        <v>92.55</v>
      </c>
      <c r="I2226" s="7">
        <v>92.8</v>
      </c>
      <c r="J2226" s="7"/>
      <c r="K2226" s="7"/>
      <c r="L2226" s="7"/>
      <c r="M2226" s="7">
        <v>73.5</v>
      </c>
      <c r="N2226" s="17"/>
      <c r="P2226" s="17"/>
      <c r="Q2226" s="7">
        <f t="shared" ref="Q2226:Q2228" si="172">(T2226-S2226)*R2226</f>
        <v>0</v>
      </c>
      <c r="R2226" s="109"/>
      <c r="S2226" s="7"/>
      <c r="T2226" s="7"/>
      <c r="U2226" s="70"/>
      <c r="V2226" s="17"/>
      <c r="W2226" s="66">
        <v>8.2638888888888887E-2</v>
      </c>
      <c r="X2226" s="7">
        <v>116.9</v>
      </c>
      <c r="Y2226" s="7">
        <v>114.5</v>
      </c>
      <c r="Z2226" s="66">
        <v>8.2638888888888887E-2</v>
      </c>
    </row>
    <row r="2227" spans="2:26" x14ac:dyDescent="0.3">
      <c r="B2227" s="5">
        <f>B2226+50</f>
        <v>14800</v>
      </c>
      <c r="C2227" s="7">
        <v>76.099999999999994</v>
      </c>
      <c r="D2227" s="7">
        <v>54.65</v>
      </c>
      <c r="E2227" s="16"/>
      <c r="F2227" s="98">
        <f t="shared" si="171"/>
        <v>14854.65</v>
      </c>
      <c r="G2227" s="17"/>
      <c r="H2227" s="7">
        <v>72</v>
      </c>
      <c r="I2227" s="7">
        <v>72.3</v>
      </c>
      <c r="J2227" s="7"/>
      <c r="K2227" s="7"/>
      <c r="L2227" s="7"/>
      <c r="M2227" s="7">
        <v>56.15</v>
      </c>
      <c r="N2227" s="17"/>
      <c r="P2227" s="17"/>
      <c r="Q2227" s="7">
        <f t="shared" si="172"/>
        <v>0</v>
      </c>
      <c r="R2227" s="109"/>
      <c r="S2227" s="18"/>
      <c r="T2227" s="18"/>
      <c r="U2227" s="101"/>
      <c r="V2227" s="17"/>
      <c r="W2227" s="17"/>
      <c r="X2227" s="17"/>
      <c r="Y2227" s="17"/>
      <c r="Z2227" s="17"/>
    </row>
    <row r="2228" spans="2:26" x14ac:dyDescent="0.3">
      <c r="B2228" s="99">
        <f>B2227+50</f>
        <v>14850</v>
      </c>
      <c r="C2228" s="51">
        <v>58.05</v>
      </c>
      <c r="D2228" s="7">
        <v>41.55</v>
      </c>
      <c r="E2228" s="16"/>
      <c r="F2228" s="7">
        <f t="shared" si="171"/>
        <v>14891.55</v>
      </c>
      <c r="G2228" s="17"/>
      <c r="H2228" s="7">
        <v>54.9</v>
      </c>
      <c r="I2228" s="7">
        <v>54.7</v>
      </c>
      <c r="J2228" s="7"/>
      <c r="K2228" s="7"/>
      <c r="L2228" s="7"/>
      <c r="M2228" s="7">
        <v>41.2</v>
      </c>
      <c r="N2228" s="17"/>
      <c r="P2228" s="17"/>
      <c r="Q2228" s="7">
        <f t="shared" si="172"/>
        <v>0</v>
      </c>
      <c r="R2228" s="109"/>
      <c r="S2228" s="18"/>
      <c r="T2228" s="18"/>
      <c r="U2228" s="101"/>
      <c r="V2228" s="17"/>
      <c r="W2228" s="90" t="s">
        <v>68</v>
      </c>
      <c r="X2228" s="91" t="s">
        <v>69</v>
      </c>
      <c r="Y2228" s="92" t="s">
        <v>70</v>
      </c>
      <c r="Z2228" s="90" t="s">
        <v>68</v>
      </c>
    </row>
    <row r="2229" spans="2:26" x14ac:dyDescent="0.3">
      <c r="B2229" s="5">
        <f>B2228+50</f>
        <v>14900</v>
      </c>
      <c r="C2229" s="7">
        <v>43.25</v>
      </c>
      <c r="D2229" s="7">
        <v>31.3</v>
      </c>
      <c r="E2229" s="16">
        <f>E2230-(F2230-E2230)</f>
        <v>43.749999999999972</v>
      </c>
      <c r="F2229" s="7">
        <f t="shared" si="171"/>
        <v>14931.3</v>
      </c>
      <c r="G2229" s="16"/>
      <c r="H2229" s="7">
        <v>41.1</v>
      </c>
      <c r="I2229" s="7">
        <v>40.1</v>
      </c>
      <c r="J2229" s="7"/>
      <c r="K2229" s="7"/>
      <c r="L2229" s="7"/>
      <c r="M2229" s="7">
        <v>29.7</v>
      </c>
      <c r="N2229" s="17"/>
      <c r="P2229" s="17"/>
      <c r="Q2229" s="5" t="s">
        <v>112</v>
      </c>
      <c r="R2229" s="7">
        <f>SUM(Q2225:Q2228)</f>
        <v>0</v>
      </c>
      <c r="S2229" s="5">
        <f>SUM(S2225:S2228)</f>
        <v>0</v>
      </c>
      <c r="T2229" s="5" t="e">
        <f>(R2229/S2229)*2</f>
        <v>#DIV/0!</v>
      </c>
      <c r="U2229" s="100"/>
      <c r="V2229" s="17"/>
      <c r="W2229" s="66">
        <v>0.41597222222222219</v>
      </c>
      <c r="X2229" s="7">
        <v>58.05</v>
      </c>
      <c r="Y2229" s="7">
        <v>79.099999999999994</v>
      </c>
      <c r="Z2229" s="66">
        <v>0.41597222222222219</v>
      </c>
    </row>
    <row r="2230" spans="2:26" x14ac:dyDescent="0.3">
      <c r="B2230" s="17"/>
      <c r="C2230" s="17"/>
      <c r="D2230" s="16"/>
      <c r="E2230" s="16">
        <f>F2230-(G2230-F2230)</f>
        <v>60.674999999999983</v>
      </c>
      <c r="F2230" s="16">
        <f>AVERAGE(C2227,C2238)</f>
        <v>77.599999999999994</v>
      </c>
      <c r="G2230" s="16">
        <f>AVERAGE(C2226,C2237)</f>
        <v>94.525000000000006</v>
      </c>
      <c r="H2230" s="101"/>
      <c r="I2230" s="101"/>
      <c r="J2230" s="101"/>
      <c r="K2230" s="101"/>
      <c r="L2230" s="101"/>
      <c r="M2230" s="101"/>
      <c r="N2230" s="17"/>
      <c r="P2230" s="17"/>
      <c r="Q2230" s="17"/>
      <c r="R2230" s="17"/>
      <c r="S2230" s="17"/>
      <c r="T2230" s="17"/>
      <c r="U2230" s="17"/>
      <c r="V2230" s="16"/>
      <c r="W2230" s="66">
        <v>0.4368055555555555</v>
      </c>
      <c r="X2230" s="7">
        <v>54.9</v>
      </c>
      <c r="Y2230" s="7">
        <v>77.349999999999994</v>
      </c>
      <c r="Z2230" s="66">
        <v>0.4368055555555555</v>
      </c>
    </row>
    <row r="2231" spans="2:26" x14ac:dyDescent="0.3">
      <c r="B2231" s="17"/>
      <c r="C2231" s="95">
        <v>44308</v>
      </c>
      <c r="D2231" s="17"/>
      <c r="F2231" s="16"/>
      <c r="H2231" s="66">
        <v>0.41875000000000001</v>
      </c>
      <c r="I2231" s="67">
        <v>8.3333333333333329E-2</v>
      </c>
      <c r="J2231" s="66"/>
      <c r="K2231" s="66"/>
      <c r="L2231" s="66"/>
      <c r="M2231" s="66">
        <v>0.13541666666666666</v>
      </c>
      <c r="P2231" s="17"/>
      <c r="Q2231" s="7">
        <f>(T2231-S2231)*R2231</f>
        <v>-1582.4999999999995</v>
      </c>
      <c r="R2231" s="109">
        <v>75</v>
      </c>
      <c r="S2231" s="7">
        <v>83.3</v>
      </c>
      <c r="T2231" s="7">
        <v>62.2</v>
      </c>
      <c r="U2231" s="70"/>
      <c r="V2231" s="17"/>
      <c r="W2231" s="66">
        <v>0.45763888888888887</v>
      </c>
      <c r="X2231" s="7">
        <v>59.75</v>
      </c>
      <c r="Y2231" s="7">
        <v>79.7</v>
      </c>
      <c r="Z2231" s="66">
        <v>0.45763888888888887</v>
      </c>
    </row>
    <row r="2232" spans="2:26" x14ac:dyDescent="0.3">
      <c r="B2232" s="90" t="s">
        <v>68</v>
      </c>
      <c r="C2232" s="66">
        <v>0.41666666666666669</v>
      </c>
      <c r="D2232" s="66">
        <v>0.41319444444444442</v>
      </c>
      <c r="E2232" s="16">
        <f>F2232-(G2232-F2232)</f>
        <v>65.500000000000014</v>
      </c>
      <c r="F2232" s="16">
        <f>AVERAGE(C2237,C2227)</f>
        <v>84.025000000000006</v>
      </c>
      <c r="G2232" s="16">
        <f>AVERAGE(C2236,C2226)</f>
        <v>102.55</v>
      </c>
      <c r="H2232" s="23">
        <v>84</v>
      </c>
      <c r="I2232" s="7">
        <v>14683.75</v>
      </c>
      <c r="J2232" s="7"/>
      <c r="K2232" s="7"/>
      <c r="L2232" s="7"/>
      <c r="M2232" s="7">
        <v>14642</v>
      </c>
      <c r="P2232" s="17"/>
      <c r="Q2232" s="7">
        <f t="shared" ref="Q2232:Q2234" si="173">(T2232-S2232)*R2232</f>
        <v>-1582.4999999999995</v>
      </c>
      <c r="R2232" s="109">
        <v>75</v>
      </c>
      <c r="S2232" s="7">
        <v>83.3</v>
      </c>
      <c r="T2232" s="7">
        <v>62.2</v>
      </c>
      <c r="U2232" s="70"/>
      <c r="V2232" s="17"/>
      <c r="W2232" s="66">
        <v>0.47847222222222219</v>
      </c>
      <c r="X2232" s="7">
        <v>65.650000000000006</v>
      </c>
      <c r="Y2232" s="7">
        <v>70.95</v>
      </c>
      <c r="Z2232" s="66">
        <v>0.47847222222222219</v>
      </c>
    </row>
    <row r="2233" spans="2:26" x14ac:dyDescent="0.3">
      <c r="B2233" s="5">
        <f>B2234+50</f>
        <v>14700</v>
      </c>
      <c r="C2233" s="7">
        <v>167.35</v>
      </c>
      <c r="D2233" s="7">
        <v>162.69999999999999</v>
      </c>
      <c r="E2233" s="16">
        <f>E2232-(F2232-E2232)</f>
        <v>46.975000000000023</v>
      </c>
      <c r="F2233" s="7">
        <f t="shared" ref="F2233:F2238" si="174">B2233-D2233</f>
        <v>14537.3</v>
      </c>
      <c r="G2233" s="16"/>
      <c r="H2233" s="7">
        <v>175.7</v>
      </c>
      <c r="I2233" s="7">
        <v>156.6</v>
      </c>
      <c r="J2233" s="7"/>
      <c r="K2233" s="7"/>
      <c r="L2233" s="7"/>
      <c r="M2233" s="7">
        <v>177.45</v>
      </c>
      <c r="N2233" s="17"/>
      <c r="P2233" s="17"/>
      <c r="Q2233" s="7">
        <f t="shared" si="173"/>
        <v>0</v>
      </c>
      <c r="R2233" s="109"/>
      <c r="S2233" s="18"/>
      <c r="T2233" s="18"/>
      <c r="U2233" s="101"/>
      <c r="V2233" s="16"/>
      <c r="W2233" s="66">
        <v>0.4993055555555555</v>
      </c>
      <c r="X2233" s="7">
        <v>56.5</v>
      </c>
      <c r="Y2233" s="7">
        <v>77</v>
      </c>
      <c r="Z2233" s="66">
        <v>0.4993055555555555</v>
      </c>
    </row>
    <row r="2234" spans="2:26" x14ac:dyDescent="0.3">
      <c r="B2234" s="5">
        <f>B2235+50</f>
        <v>14650</v>
      </c>
      <c r="C2234" s="7">
        <v>144.9</v>
      </c>
      <c r="D2234" s="7">
        <v>140.25</v>
      </c>
      <c r="E2234" s="16"/>
      <c r="F2234" s="7">
        <f t="shared" si="174"/>
        <v>14509.75</v>
      </c>
      <c r="G2234" s="17"/>
      <c r="H2234" s="7">
        <v>151.15</v>
      </c>
      <c r="I2234" s="7">
        <v>133.9</v>
      </c>
      <c r="J2234" s="7"/>
      <c r="K2234" s="7"/>
      <c r="L2234" s="7"/>
      <c r="M2234" s="7">
        <v>152.15</v>
      </c>
      <c r="N2234" s="17"/>
      <c r="P2234" s="17"/>
      <c r="Q2234" s="7">
        <f t="shared" si="173"/>
        <v>0</v>
      </c>
      <c r="R2234" s="109"/>
      <c r="S2234" s="18"/>
      <c r="T2234" s="18"/>
      <c r="U2234" s="101"/>
      <c r="V2234" s="16"/>
      <c r="W2234" s="66">
        <v>0.52013888888888882</v>
      </c>
      <c r="X2234" s="7">
        <v>53.25</v>
      </c>
      <c r="Y2234" s="7">
        <v>78.3</v>
      </c>
      <c r="Z2234" s="66">
        <v>0.52013888888888882</v>
      </c>
    </row>
    <row r="2235" spans="2:26" x14ac:dyDescent="0.3">
      <c r="B2235" s="97">
        <v>14600</v>
      </c>
      <c r="C2235" s="7">
        <v>124.7</v>
      </c>
      <c r="D2235" s="7">
        <v>120.7</v>
      </c>
      <c r="E2235" s="16"/>
      <c r="F2235" s="7">
        <f t="shared" si="174"/>
        <v>14479.3</v>
      </c>
      <c r="G2235" s="17"/>
      <c r="H2235" s="7">
        <v>131.19999999999999</v>
      </c>
      <c r="I2235" s="7">
        <v>114.5</v>
      </c>
      <c r="J2235" s="7"/>
      <c r="K2235" s="7"/>
      <c r="L2235" s="7"/>
      <c r="M2235" s="7">
        <v>128.85</v>
      </c>
      <c r="N2235" s="17"/>
      <c r="P2235" s="17"/>
      <c r="Q2235" s="5" t="s">
        <v>112</v>
      </c>
      <c r="R2235" s="7">
        <f>SUM(Q2231:Q2234)</f>
        <v>-3164.9999999999991</v>
      </c>
      <c r="S2235" s="5">
        <f>SUM(S2231:S2234)</f>
        <v>166.6</v>
      </c>
      <c r="T2235" s="5">
        <f>(R2235/S2235)*2</f>
        <v>-37.995198079231685</v>
      </c>
      <c r="U2235" s="100"/>
      <c r="V2235" s="17"/>
      <c r="W2235" s="66">
        <v>0.54097222222222219</v>
      </c>
      <c r="X2235" s="7">
        <v>57</v>
      </c>
      <c r="Y2235" s="7">
        <v>71.349999999999994</v>
      </c>
      <c r="Z2235" s="66">
        <v>0.54097222222222219</v>
      </c>
    </row>
    <row r="2236" spans="2:26" x14ac:dyDescent="0.3">
      <c r="B2236" s="14">
        <f>B2235-50</f>
        <v>14550</v>
      </c>
      <c r="C2236" s="7">
        <v>108</v>
      </c>
      <c r="D2236" s="23">
        <v>104.7</v>
      </c>
      <c r="E2236" s="16"/>
      <c r="F2236" s="98">
        <f t="shared" si="174"/>
        <v>14445.3</v>
      </c>
      <c r="G2236" s="17"/>
      <c r="H2236" s="7">
        <v>112.65</v>
      </c>
      <c r="I2236" s="7">
        <v>97.05</v>
      </c>
      <c r="J2236" s="7"/>
      <c r="K2236" s="7"/>
      <c r="L2236" s="7"/>
      <c r="M2236" s="7">
        <v>109.3</v>
      </c>
      <c r="N2236" s="17"/>
      <c r="P2236" s="17"/>
      <c r="Q2236" s="17"/>
      <c r="R2236" s="17"/>
      <c r="S2236" s="17"/>
      <c r="T2236" s="17"/>
      <c r="U2236" s="17"/>
      <c r="V2236" s="17"/>
      <c r="W2236" s="66">
        <v>6.1805555555555558E-2</v>
      </c>
      <c r="X2236" s="7">
        <v>52.9</v>
      </c>
      <c r="Y2236" s="7">
        <v>73.5</v>
      </c>
      <c r="Z2236" s="66">
        <v>6.1805555555555558E-2</v>
      </c>
    </row>
    <row r="2237" spans="2:26" x14ac:dyDescent="0.3">
      <c r="B2237" s="99">
        <f>B2236-50</f>
        <v>14500</v>
      </c>
      <c r="C2237" s="7">
        <v>91.95</v>
      </c>
      <c r="D2237" s="7">
        <v>89.7</v>
      </c>
      <c r="E2237" s="16"/>
      <c r="F2237" s="7">
        <f t="shared" si="174"/>
        <v>14410.3</v>
      </c>
      <c r="G2237" s="17"/>
      <c r="H2237" s="7">
        <v>97.65</v>
      </c>
      <c r="I2237" s="7">
        <v>82.65</v>
      </c>
      <c r="J2237" s="7"/>
      <c r="K2237" s="7"/>
      <c r="L2237" s="7"/>
      <c r="M2237" s="7">
        <v>91.8</v>
      </c>
      <c r="N2237" s="17"/>
      <c r="P2237" s="17"/>
      <c r="Q2237" s="17"/>
      <c r="R2237" s="17"/>
      <c r="S2237" s="17"/>
      <c r="T2237" s="17"/>
      <c r="U2237" s="17"/>
      <c r="V2237" s="17"/>
      <c r="W2237" s="66">
        <v>8.2638888888888887E-2</v>
      </c>
      <c r="X2237" s="7">
        <v>54.7</v>
      </c>
      <c r="Y2237" s="7">
        <v>70</v>
      </c>
      <c r="Z2237" s="66">
        <v>8.2638888888888887E-2</v>
      </c>
    </row>
    <row r="2238" spans="2:26" x14ac:dyDescent="0.3">
      <c r="B2238" s="5">
        <f>B2237-50</f>
        <v>14450</v>
      </c>
      <c r="C2238" s="51">
        <v>79.099999999999994</v>
      </c>
      <c r="D2238" s="7">
        <v>77.150000000000006</v>
      </c>
      <c r="E2238" s="16"/>
      <c r="F2238" s="7">
        <f t="shared" si="174"/>
        <v>14372.85</v>
      </c>
      <c r="G2238" s="16">
        <f>AVERAGE(H2238,H2229)</f>
        <v>62.2</v>
      </c>
      <c r="H2238" s="7">
        <v>83.3</v>
      </c>
      <c r="I2238" s="7">
        <v>70</v>
      </c>
      <c r="J2238" s="7"/>
      <c r="K2238" s="7"/>
      <c r="L2238" s="7"/>
      <c r="M2238" s="7">
        <v>77.95</v>
      </c>
      <c r="N2238" s="17"/>
      <c r="P2238" s="98">
        <f>SUM(R2229,R2235)</f>
        <v>-3164.9999999999991</v>
      </c>
      <c r="Q2238" s="92" t="s">
        <v>72</v>
      </c>
      <c r="R2238" s="17"/>
      <c r="S2238" s="92" t="s">
        <v>73</v>
      </c>
      <c r="T2238" s="7">
        <f>((X2230+Y2230)-(X2238+Y2238))</f>
        <v>-3.1499999999999773</v>
      </c>
      <c r="U2238" s="7"/>
      <c r="V2238" s="98">
        <f>T2238*M2219</f>
        <v>-708.74999999999488</v>
      </c>
      <c r="W2238" s="66">
        <v>0.42291666666666666</v>
      </c>
      <c r="X2238" s="7">
        <v>58.05</v>
      </c>
      <c r="Y2238" s="23">
        <v>77.349999999999994</v>
      </c>
      <c r="Z2238" s="66">
        <v>0.4368055555555555</v>
      </c>
    </row>
    <row r="2250" spans="2:26" x14ac:dyDescent="0.3">
      <c r="B2250" s="40"/>
      <c r="C2250" s="50">
        <f>AVERAGE(B2251,D2250)</f>
        <v>14317.95</v>
      </c>
      <c r="D2250" s="51">
        <f>B2251+E2251</f>
        <v>14367.95</v>
      </c>
      <c r="E2250" s="50">
        <f>AVERAGE(D2250,F2250)</f>
        <v>14417.95</v>
      </c>
      <c r="F2250" s="50">
        <f>D2250+E2251</f>
        <v>14467.95</v>
      </c>
      <c r="G2250" s="17"/>
      <c r="H2250" s="88" t="str">
        <f>IF((C2259-D2259)&gt;(C2268-D2268),"LONG",IF(C2268&gt;D2266,"LONG","SHORT"))</f>
        <v>SHORT</v>
      </c>
      <c r="I2250" s="104">
        <v>14213</v>
      </c>
      <c r="J2250" s="105" t="s">
        <v>122</v>
      </c>
      <c r="K2250" s="106">
        <v>14399</v>
      </c>
      <c r="L2250" s="17"/>
      <c r="M2250" s="94">
        <f>(232000)/4</f>
        <v>58000</v>
      </c>
      <c r="N2250" s="17"/>
      <c r="Q2250" s="153" t="s">
        <v>71</v>
      </c>
      <c r="R2250" s="154"/>
      <c r="S2250" s="153" t="s">
        <v>37</v>
      </c>
      <c r="T2250" s="154"/>
      <c r="U2250" s="17"/>
      <c r="V2250" s="17"/>
      <c r="W2250" s="90" t="s">
        <v>68</v>
      </c>
      <c r="X2250" s="91" t="s">
        <v>69</v>
      </c>
      <c r="Y2250" s="92" t="s">
        <v>70</v>
      </c>
      <c r="Z2250" s="90" t="s">
        <v>68</v>
      </c>
    </row>
    <row r="2251" spans="2:26" x14ac:dyDescent="0.3">
      <c r="B2251" s="50">
        <v>14267.95</v>
      </c>
      <c r="C2251" s="40"/>
      <c r="D2251" s="58"/>
      <c r="E2251" s="59">
        <f>ROUND((((B2251*F2251%)/4)/10),0)*10</f>
        <v>100</v>
      </c>
      <c r="F2251" s="51">
        <f>(100/B2251)*(F2260-F2269)</f>
        <v>2.8311705605921014</v>
      </c>
      <c r="G2251" s="17"/>
      <c r="H2251" s="93">
        <v>0.39166666666666666</v>
      </c>
      <c r="I2251" s="93">
        <v>0.39861111111111108</v>
      </c>
      <c r="J2251" s="93">
        <v>0.4055555555555555</v>
      </c>
      <c r="K2251" s="93">
        <v>0.41250000000000003</v>
      </c>
      <c r="L2251" s="17"/>
      <c r="N2251" s="17"/>
      <c r="Q2251" s="51">
        <f>R2251-(S2251-R2251)</f>
        <v>13929.4</v>
      </c>
      <c r="R2251" s="51">
        <v>14326.25</v>
      </c>
      <c r="S2251" s="51">
        <v>14723.1</v>
      </c>
      <c r="T2251" s="51">
        <f>S2251+(S2251-R2251)</f>
        <v>15119.95</v>
      </c>
      <c r="U2251" s="17"/>
      <c r="V2251" s="17"/>
      <c r="W2251" s="66">
        <v>0.41597222222222219</v>
      </c>
      <c r="X2251" s="7">
        <v>146</v>
      </c>
      <c r="Y2251" s="7">
        <v>150.65</v>
      </c>
      <c r="Z2251" s="66">
        <v>0.41597222222222219</v>
      </c>
    </row>
    <row r="2252" spans="2:26" x14ac:dyDescent="0.3">
      <c r="B2252" s="40"/>
      <c r="C2252" s="50">
        <f>AVERAGE(B2251,D2252)</f>
        <v>14217.95</v>
      </c>
      <c r="D2252" s="51">
        <f>B2251-E2251</f>
        <v>14167.95</v>
      </c>
      <c r="E2252" s="50">
        <f>AVERAGE(D2252,F2252)</f>
        <v>14117.95</v>
      </c>
      <c r="F2252" s="50">
        <f>D2252-E2251</f>
        <v>14067.95</v>
      </c>
      <c r="G2252" s="17"/>
      <c r="H2252" s="51">
        <v>14288</v>
      </c>
      <c r="I2252" s="51">
        <v>14261.5</v>
      </c>
      <c r="J2252" s="51">
        <v>14231</v>
      </c>
      <c r="K2252" s="51">
        <v>14240</v>
      </c>
      <c r="L2252" s="17"/>
      <c r="M2252" s="94">
        <f>ROUND((M2250/AVERAGE(F2263,F2265))/225,0)*75</f>
        <v>225</v>
      </c>
      <c r="N2252" s="17"/>
      <c r="Q2252" s="17"/>
      <c r="R2252" s="17"/>
      <c r="S2252" s="17"/>
      <c r="T2252" s="16"/>
      <c r="U2252" s="17"/>
      <c r="V2252" s="17"/>
      <c r="W2252" s="66">
        <v>0.4368055555555555</v>
      </c>
      <c r="X2252" s="7">
        <v>149</v>
      </c>
      <c r="Y2252" s="7">
        <v>134.19999999999999</v>
      </c>
      <c r="Z2252" s="66">
        <v>0.4368055555555555</v>
      </c>
    </row>
    <row r="2253" spans="2:26" x14ac:dyDescent="0.3">
      <c r="B2253" s="17"/>
      <c r="C2253" s="17"/>
      <c r="D2253" s="17"/>
      <c r="E2253" s="17"/>
      <c r="F2253" s="16"/>
      <c r="G2253" s="16"/>
      <c r="H2253" s="17"/>
      <c r="I2253" s="17"/>
      <c r="J2253" s="17"/>
      <c r="K2253" s="16"/>
      <c r="L2253" s="17"/>
      <c r="M2253" s="17"/>
      <c r="N2253" s="17"/>
      <c r="Q2253" s="17"/>
      <c r="R2253" s="17"/>
      <c r="S2253" s="17"/>
      <c r="T2253" s="17"/>
      <c r="U2253" s="17"/>
      <c r="V2253" s="17"/>
      <c r="W2253" s="66">
        <v>0.45763888888888887</v>
      </c>
      <c r="X2253" s="7">
        <v>173.05</v>
      </c>
      <c r="Y2253" s="7">
        <v>112.45</v>
      </c>
      <c r="Z2253" s="66">
        <v>0.45763888888888887</v>
      </c>
    </row>
    <row r="2254" spans="2:26" x14ac:dyDescent="0.3">
      <c r="B2254" s="16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Q2254" s="17"/>
      <c r="R2254" s="17"/>
      <c r="S2254" s="17"/>
      <c r="T2254" s="17"/>
      <c r="U2254" s="17"/>
      <c r="V2254" s="17"/>
      <c r="W2254" s="66">
        <v>0.47847222222222219</v>
      </c>
      <c r="X2254" s="7">
        <v>155.85</v>
      </c>
      <c r="Y2254" s="7">
        <v>129.19999999999999</v>
      </c>
      <c r="Z2254" s="66">
        <v>0.47847222222222219</v>
      </c>
    </row>
    <row r="2255" spans="2:26" x14ac:dyDescent="0.3">
      <c r="B2255" s="17"/>
      <c r="C2255" s="95">
        <v>44305</v>
      </c>
      <c r="D2255" s="17"/>
      <c r="E2255" s="17"/>
      <c r="F2255" s="7">
        <f>AVERAGE(F2257,F2266)</f>
        <v>14269.924999999999</v>
      </c>
      <c r="G2255" s="96"/>
      <c r="H2255" s="66">
        <v>0.41666666666666669</v>
      </c>
      <c r="I2255" s="66">
        <v>0.42430555555555555</v>
      </c>
      <c r="J2255" s="66">
        <v>6.5277777777777782E-2</v>
      </c>
      <c r="K2255" s="66">
        <v>5.8333333333333327E-2</v>
      </c>
      <c r="L2255" s="66">
        <v>0.11527777777777777</v>
      </c>
      <c r="M2255" s="66">
        <v>0.13541666666666666</v>
      </c>
      <c r="N2255" s="17"/>
      <c r="Q2255" s="17"/>
      <c r="R2255" s="17"/>
      <c r="S2255" s="17"/>
      <c r="T2255" s="17"/>
      <c r="U2255" s="17"/>
      <c r="V2255" s="17"/>
      <c r="W2255" s="66">
        <v>0.4993055555555555</v>
      </c>
      <c r="X2255" s="7">
        <v>149.80000000000001</v>
      </c>
      <c r="Y2255" s="7">
        <v>131.75</v>
      </c>
      <c r="Z2255" s="66">
        <v>0.4993055555555555</v>
      </c>
    </row>
    <row r="2256" spans="2:26" x14ac:dyDescent="0.3">
      <c r="B2256" s="90" t="s">
        <v>68</v>
      </c>
      <c r="C2256" s="66">
        <v>0.41666666666666669</v>
      </c>
      <c r="D2256" s="66">
        <v>0.40625</v>
      </c>
      <c r="E2256" s="17"/>
      <c r="F2256" s="17"/>
      <c r="G2256" s="17"/>
      <c r="H2256" s="7">
        <v>14245.75</v>
      </c>
      <c r="I2256" s="7">
        <v>14310.95</v>
      </c>
      <c r="J2256" s="7">
        <v>14356.05</v>
      </c>
      <c r="K2256" s="23">
        <v>95.3</v>
      </c>
      <c r="L2256" s="23">
        <v>75.349999999999994</v>
      </c>
      <c r="M2256" s="7">
        <v>14373.2</v>
      </c>
      <c r="N2256" s="17"/>
      <c r="Q2256" s="156" t="s">
        <v>72</v>
      </c>
      <c r="R2256" s="157"/>
      <c r="S2256" s="157"/>
      <c r="T2256" s="157"/>
      <c r="U2256" s="157"/>
      <c r="V2256" s="17"/>
      <c r="W2256" s="66">
        <v>0.52013888888888882</v>
      </c>
      <c r="X2256" s="7">
        <v>155.30000000000001</v>
      </c>
      <c r="Y2256" s="7">
        <v>126.1</v>
      </c>
      <c r="Z2256" s="66">
        <v>0.52013888888888882</v>
      </c>
    </row>
    <row r="2257" spans="2:26" x14ac:dyDescent="0.3">
      <c r="B2257" s="5">
        <f>B2258-50</f>
        <v>14250</v>
      </c>
      <c r="C2257" s="7">
        <v>146</v>
      </c>
      <c r="D2257" s="7">
        <v>127.4</v>
      </c>
      <c r="E2257" s="16"/>
      <c r="F2257" s="7">
        <f t="shared" ref="F2257:F2262" si="175">B2257+D2257</f>
        <v>14377.4</v>
      </c>
      <c r="G2257" s="17"/>
      <c r="H2257" s="7">
        <v>135.9</v>
      </c>
      <c r="I2257" s="7">
        <v>160.65</v>
      </c>
      <c r="J2257" s="7">
        <v>184.25</v>
      </c>
      <c r="K2257" s="7">
        <v>182.85</v>
      </c>
      <c r="L2257" s="7">
        <v>163.5</v>
      </c>
      <c r="M2257" s="7">
        <v>194.15</v>
      </c>
      <c r="N2257" s="17"/>
      <c r="Q2257" s="34"/>
      <c r="R2257" s="34" t="s">
        <v>111</v>
      </c>
      <c r="S2257" s="34" t="s">
        <v>2</v>
      </c>
      <c r="T2257" s="34" t="s">
        <v>1</v>
      </c>
      <c r="U2257" s="34" t="s">
        <v>111</v>
      </c>
      <c r="V2257" s="17"/>
      <c r="W2257" s="66">
        <v>0.54097222222222219</v>
      </c>
      <c r="X2257" s="7">
        <v>163.65</v>
      </c>
      <c r="Y2257" s="7">
        <v>117</v>
      </c>
      <c r="Z2257" s="66">
        <v>0.54097222222222219</v>
      </c>
    </row>
    <row r="2258" spans="2:26" x14ac:dyDescent="0.3">
      <c r="B2258" s="5">
        <f>B2259-50</f>
        <v>14300</v>
      </c>
      <c r="C2258" s="7">
        <v>119.45</v>
      </c>
      <c r="D2258" s="7">
        <v>102.45</v>
      </c>
      <c r="E2258" s="16"/>
      <c r="F2258" s="7">
        <f t="shared" si="175"/>
        <v>14402.45</v>
      </c>
      <c r="G2258" s="17"/>
      <c r="H2258" s="7">
        <v>110.25</v>
      </c>
      <c r="I2258" s="7">
        <v>130.75</v>
      </c>
      <c r="J2258" s="7">
        <v>151.55000000000001</v>
      </c>
      <c r="K2258" s="7">
        <v>150.6</v>
      </c>
      <c r="L2258" s="7">
        <v>132.19999999999999</v>
      </c>
      <c r="M2258" s="7">
        <v>159.85</v>
      </c>
      <c r="P2258" s="17"/>
      <c r="Q2258" s="7">
        <f>(U2258*T2258)-(R2258*S2258)</f>
        <v>-1957.5</v>
      </c>
      <c r="R2258" s="109">
        <v>75</v>
      </c>
      <c r="S2258" s="7">
        <v>104</v>
      </c>
      <c r="T2258" s="18">
        <v>77.900000000000006</v>
      </c>
      <c r="U2258" s="109">
        <f>R2258</f>
        <v>75</v>
      </c>
      <c r="V2258" s="17"/>
      <c r="W2258" s="66">
        <v>6.1805555555555558E-2</v>
      </c>
      <c r="X2258" s="7">
        <v>175.2</v>
      </c>
      <c r="Y2258" s="7">
        <v>106.9</v>
      </c>
      <c r="Z2258" s="66">
        <v>6.1805555555555558E-2</v>
      </c>
    </row>
    <row r="2259" spans="2:26" x14ac:dyDescent="0.3">
      <c r="B2259" s="97">
        <v>14350</v>
      </c>
      <c r="C2259" s="7">
        <v>95.4</v>
      </c>
      <c r="D2259" s="7">
        <v>80.900000000000006</v>
      </c>
      <c r="E2259" s="16"/>
      <c r="F2259" s="7">
        <f t="shared" si="175"/>
        <v>14430.9</v>
      </c>
      <c r="G2259" s="17"/>
      <c r="H2259" s="7">
        <v>87.4</v>
      </c>
      <c r="I2259" s="7">
        <v>105.4</v>
      </c>
      <c r="J2259" s="7">
        <v>122.4</v>
      </c>
      <c r="K2259" s="7">
        <v>122</v>
      </c>
      <c r="L2259" s="7">
        <v>104.4</v>
      </c>
      <c r="M2259" s="7">
        <v>127.7</v>
      </c>
      <c r="P2259" s="17"/>
      <c r="Q2259" s="7">
        <f t="shared" ref="Q2259:Q2261" si="176">(U2259*T2259)-(R2259*S2259)</f>
        <v>-1957.5</v>
      </c>
      <c r="R2259" s="109">
        <v>75</v>
      </c>
      <c r="S2259" s="7">
        <v>104</v>
      </c>
      <c r="T2259" s="18">
        <v>77.900000000000006</v>
      </c>
      <c r="U2259" s="109">
        <f>R2259</f>
        <v>75</v>
      </c>
      <c r="V2259" s="17"/>
      <c r="W2259" s="66">
        <v>8.2638888888888887E-2</v>
      </c>
      <c r="X2259" s="7">
        <v>198.05</v>
      </c>
      <c r="Y2259" s="7">
        <v>92.8</v>
      </c>
      <c r="Z2259" s="66">
        <v>8.2638888888888887E-2</v>
      </c>
    </row>
    <row r="2260" spans="2:26" x14ac:dyDescent="0.3">
      <c r="B2260" s="5">
        <f>B2259+50</f>
        <v>14400</v>
      </c>
      <c r="C2260" s="51">
        <v>74.150000000000006</v>
      </c>
      <c r="D2260" s="23">
        <v>61.95</v>
      </c>
      <c r="E2260" s="16"/>
      <c r="F2260" s="98">
        <f t="shared" si="175"/>
        <v>14461.95</v>
      </c>
      <c r="G2260" s="17"/>
      <c r="H2260" s="7">
        <v>67.95</v>
      </c>
      <c r="I2260" s="7">
        <v>82</v>
      </c>
      <c r="J2260" s="7">
        <v>96.2</v>
      </c>
      <c r="K2260" s="7">
        <v>95.7</v>
      </c>
      <c r="L2260" s="7">
        <v>79.7</v>
      </c>
      <c r="M2260" s="7">
        <v>99.4</v>
      </c>
      <c r="N2260" s="17"/>
      <c r="P2260" s="17"/>
      <c r="Q2260" s="7">
        <f t="shared" si="176"/>
        <v>0</v>
      </c>
      <c r="R2260" s="109"/>
      <c r="S2260" s="18"/>
      <c r="T2260" s="18"/>
      <c r="U2260" s="109"/>
      <c r="V2260" s="17"/>
      <c r="W2260" s="17"/>
      <c r="X2260" s="17"/>
      <c r="Y2260" s="17"/>
      <c r="Z2260" s="17"/>
    </row>
    <row r="2261" spans="2:26" x14ac:dyDescent="0.3">
      <c r="B2261" s="99">
        <f>B2260+50</f>
        <v>14450</v>
      </c>
      <c r="C2261" s="7">
        <v>56.9</v>
      </c>
      <c r="D2261" s="7">
        <v>46.55</v>
      </c>
      <c r="E2261" s="16"/>
      <c r="F2261" s="7">
        <f t="shared" si="175"/>
        <v>14496.55</v>
      </c>
      <c r="G2261" s="17"/>
      <c r="H2261" s="7">
        <v>51.95</v>
      </c>
      <c r="I2261" s="7">
        <v>62.75</v>
      </c>
      <c r="J2261" s="7">
        <v>73.55</v>
      </c>
      <c r="K2261" s="7">
        <v>73.150000000000006</v>
      </c>
      <c r="L2261" s="7">
        <v>60</v>
      </c>
      <c r="M2261" s="7">
        <v>75.55</v>
      </c>
      <c r="N2261" s="17"/>
      <c r="P2261" s="17"/>
      <c r="Q2261" s="7">
        <f t="shared" si="176"/>
        <v>0</v>
      </c>
      <c r="R2261" s="109"/>
      <c r="S2261" s="18"/>
      <c r="T2261" s="18"/>
      <c r="U2261" s="109"/>
      <c r="V2261" s="17"/>
      <c r="W2261" s="90" t="s">
        <v>68</v>
      </c>
      <c r="X2261" s="91" t="s">
        <v>69</v>
      </c>
      <c r="Y2261" s="92" t="s">
        <v>70</v>
      </c>
      <c r="Z2261" s="90" t="s">
        <v>68</v>
      </c>
    </row>
    <row r="2262" spans="2:26" x14ac:dyDescent="0.3">
      <c r="B2262" s="5">
        <f>B2261+50</f>
        <v>14500</v>
      </c>
      <c r="C2262" s="7">
        <v>42.35</v>
      </c>
      <c r="D2262" s="7">
        <v>34.5</v>
      </c>
      <c r="E2262" s="16">
        <f>E2263-(F2263-E2263)</f>
        <v>55.374999999999986</v>
      </c>
      <c r="F2262" s="7">
        <f t="shared" si="175"/>
        <v>14534.5</v>
      </c>
      <c r="G2262" s="16"/>
      <c r="H2262" s="7">
        <v>38.85</v>
      </c>
      <c r="I2262" s="7">
        <v>46.65</v>
      </c>
      <c r="J2262" s="7">
        <v>55.3</v>
      </c>
      <c r="K2262" s="7">
        <v>54.65</v>
      </c>
      <c r="L2262" s="7">
        <v>43.9</v>
      </c>
      <c r="M2262" s="7">
        <v>55.65</v>
      </c>
      <c r="N2262" s="17"/>
      <c r="P2262" s="17"/>
      <c r="Q2262" s="7"/>
      <c r="R2262" s="109"/>
      <c r="S2262" s="109"/>
      <c r="T2262" s="114"/>
      <c r="U2262" s="109"/>
      <c r="V2262" s="17"/>
      <c r="W2262" s="66">
        <v>0.41597222222222219</v>
      </c>
      <c r="X2262" s="7">
        <v>74.150000000000006</v>
      </c>
      <c r="Y2262" s="7">
        <v>95.25</v>
      </c>
      <c r="Z2262" s="66">
        <v>0.41597222222222219</v>
      </c>
    </row>
    <row r="2263" spans="2:26" x14ac:dyDescent="0.3">
      <c r="B2263" s="17"/>
      <c r="C2263" s="17"/>
      <c r="D2263" s="16"/>
      <c r="E2263" s="16">
        <f>F2263-(G2263-F2263)</f>
        <v>75.349999999999994</v>
      </c>
      <c r="F2263" s="16">
        <f>AVERAGE(C2259,C2270)</f>
        <v>95.325000000000003</v>
      </c>
      <c r="G2263" s="16">
        <f>AVERAGE(C2258,C2269)</f>
        <v>115.30000000000001</v>
      </c>
      <c r="H2263" s="101"/>
      <c r="I2263" s="101"/>
      <c r="J2263" s="101"/>
      <c r="K2263" s="101"/>
      <c r="L2263" s="101"/>
      <c r="M2263" s="101"/>
      <c r="N2263" s="17"/>
      <c r="P2263" s="17"/>
      <c r="Q2263" s="17"/>
      <c r="R2263" s="17"/>
      <c r="S2263" s="17"/>
      <c r="T2263" s="17"/>
      <c r="U2263" s="16"/>
      <c r="V2263" s="16"/>
      <c r="W2263" s="66">
        <v>0.4368055555555555</v>
      </c>
      <c r="X2263" s="7">
        <v>67.95</v>
      </c>
      <c r="Y2263" s="7">
        <v>83.55</v>
      </c>
      <c r="Z2263" s="66">
        <v>0.4368055555555555</v>
      </c>
    </row>
    <row r="2264" spans="2:26" x14ac:dyDescent="0.3">
      <c r="B2264" s="17"/>
      <c r="C2264" s="95">
        <v>44308</v>
      </c>
      <c r="D2264" s="17"/>
      <c r="F2264" s="16"/>
      <c r="H2264" s="66">
        <v>0.41666666666666669</v>
      </c>
      <c r="I2264" s="66">
        <v>0.42430555555555555</v>
      </c>
      <c r="J2264" s="66">
        <v>6.5277777777777782E-2</v>
      </c>
      <c r="K2264" s="66">
        <v>5.8333333333333327E-2</v>
      </c>
      <c r="L2264" s="66">
        <v>0.11527777777777777</v>
      </c>
      <c r="M2264" s="66">
        <v>0.13541666666666666</v>
      </c>
      <c r="N2264" s="17"/>
      <c r="P2264" s="17"/>
      <c r="Q2264" s="7">
        <f t="shared" ref="Q2264:Q2267" si="177">(U2264*T2264)-(R2264*S2264)</f>
        <v>0</v>
      </c>
      <c r="R2264" s="109"/>
      <c r="S2264" s="7"/>
      <c r="T2264" s="7"/>
      <c r="U2264" s="109"/>
      <c r="V2264" s="17"/>
      <c r="W2264" s="66">
        <v>0.45763888888888887</v>
      </c>
      <c r="X2264" s="7">
        <v>89.45</v>
      </c>
      <c r="Y2264" s="7">
        <v>69.3</v>
      </c>
      <c r="Z2264" s="66">
        <v>0.45763888888888887</v>
      </c>
    </row>
    <row r="2265" spans="2:26" x14ac:dyDescent="0.3">
      <c r="B2265" s="90" t="s">
        <v>68</v>
      </c>
      <c r="C2265" s="66">
        <v>0.41666666666666669</v>
      </c>
      <c r="D2265" s="66">
        <v>0.38611111111111113</v>
      </c>
      <c r="E2265" s="16">
        <f>F2265-(G2265-F2265)</f>
        <v>81.800000000000011</v>
      </c>
      <c r="F2265" s="16">
        <f>AVERAGE(C2269,C2259)</f>
        <v>103.27500000000001</v>
      </c>
      <c r="G2265" s="16">
        <f>AVERAGE(C2268,C2258)</f>
        <v>124.75</v>
      </c>
      <c r="H2265" s="23">
        <v>103.2</v>
      </c>
      <c r="I2265" s="23">
        <v>81.8</v>
      </c>
      <c r="J2265" s="23">
        <v>60.3</v>
      </c>
      <c r="K2265" s="7">
        <v>14352.5</v>
      </c>
      <c r="L2265" s="7">
        <v>14325.05</v>
      </c>
      <c r="M2265" s="7">
        <v>14373.2</v>
      </c>
      <c r="N2265" s="17"/>
      <c r="P2265" s="17"/>
      <c r="Q2265" s="7">
        <f t="shared" si="177"/>
        <v>0</v>
      </c>
      <c r="R2265" s="109"/>
      <c r="S2265" s="7"/>
      <c r="T2265" s="7"/>
      <c r="U2265" s="109"/>
      <c r="V2265" s="17"/>
      <c r="W2265" s="66">
        <v>0.47847222222222219</v>
      </c>
      <c r="X2265" s="7">
        <v>78.5</v>
      </c>
      <c r="Y2265" s="7">
        <v>81.2</v>
      </c>
      <c r="Z2265" s="66">
        <v>0.47847222222222219</v>
      </c>
    </row>
    <row r="2266" spans="2:26" x14ac:dyDescent="0.3">
      <c r="B2266" s="5">
        <f>B2267+50</f>
        <v>14300</v>
      </c>
      <c r="C2266" s="7">
        <v>174.85</v>
      </c>
      <c r="D2266" s="7">
        <v>137.55000000000001</v>
      </c>
      <c r="E2266" s="16">
        <f>E2265-(F2265-E2265)</f>
        <v>60.325000000000017</v>
      </c>
      <c r="F2266" s="7">
        <f t="shared" ref="F2266:F2271" si="178">B2266-D2266</f>
        <v>14162.45</v>
      </c>
      <c r="G2266" s="16"/>
      <c r="H2266" s="7">
        <v>188.5</v>
      </c>
      <c r="I2266" s="7">
        <v>147</v>
      </c>
      <c r="J2266" s="7">
        <v>118.55</v>
      </c>
      <c r="K2266" s="7">
        <v>118.9</v>
      </c>
      <c r="L2266" s="7">
        <v>129</v>
      </c>
      <c r="M2266" s="7">
        <v>107.55</v>
      </c>
      <c r="N2266" s="17"/>
      <c r="P2266" s="17"/>
      <c r="Q2266" s="7">
        <f t="shared" si="177"/>
        <v>0</v>
      </c>
      <c r="R2266" s="109"/>
      <c r="S2266" s="18"/>
      <c r="T2266" s="18"/>
      <c r="U2266" s="109"/>
      <c r="V2266" s="16"/>
      <c r="W2266" s="66">
        <v>0.4993055555555555</v>
      </c>
      <c r="X2266" s="7">
        <v>75</v>
      </c>
      <c r="Y2266" s="7">
        <v>81.849999999999994</v>
      </c>
      <c r="Z2266" s="66">
        <v>0.4993055555555555</v>
      </c>
    </row>
    <row r="2267" spans="2:26" x14ac:dyDescent="0.3">
      <c r="B2267" s="5">
        <f>B2268+50</f>
        <v>14250</v>
      </c>
      <c r="C2267" s="7">
        <v>150.65</v>
      </c>
      <c r="D2267" s="7">
        <v>121.45</v>
      </c>
      <c r="E2267" s="16"/>
      <c r="F2267" s="7">
        <f t="shared" si="178"/>
        <v>14128.55</v>
      </c>
      <c r="G2267" s="17"/>
      <c r="H2267" s="7">
        <v>163.05000000000001</v>
      </c>
      <c r="I2267" s="7">
        <v>126.05</v>
      </c>
      <c r="J2267" s="7">
        <v>101.25</v>
      </c>
      <c r="K2267" s="7">
        <v>101.4</v>
      </c>
      <c r="L2267" s="7">
        <v>109.5</v>
      </c>
      <c r="M2267" s="7">
        <v>91.1</v>
      </c>
      <c r="N2267" s="17"/>
      <c r="P2267" s="17"/>
      <c r="Q2267" s="7">
        <f t="shared" si="177"/>
        <v>0</v>
      </c>
      <c r="R2267" s="109"/>
      <c r="S2267" s="18"/>
      <c r="T2267" s="18"/>
      <c r="U2267" s="109"/>
      <c r="V2267" s="16"/>
      <c r="W2267" s="66">
        <v>0.52013888888888882</v>
      </c>
      <c r="X2267" s="7">
        <v>77.849999999999994</v>
      </c>
      <c r="Y2267" s="7">
        <v>78.650000000000006</v>
      </c>
      <c r="Z2267" s="66">
        <v>0.52013888888888882</v>
      </c>
    </row>
    <row r="2268" spans="2:26" x14ac:dyDescent="0.3">
      <c r="B2268" s="97">
        <v>14200</v>
      </c>
      <c r="C2268" s="7">
        <v>130.05000000000001</v>
      </c>
      <c r="D2268" s="7">
        <v>105.9</v>
      </c>
      <c r="E2268" s="16"/>
      <c r="F2268" s="7">
        <f t="shared" si="178"/>
        <v>14094.1</v>
      </c>
      <c r="G2268" s="17"/>
      <c r="H2268" s="7">
        <v>141.4</v>
      </c>
      <c r="I2268" s="7">
        <v>106.55</v>
      </c>
      <c r="J2268" s="7">
        <v>86.55</v>
      </c>
      <c r="K2268" s="7">
        <v>86.55</v>
      </c>
      <c r="L2268" s="7">
        <v>92.9</v>
      </c>
      <c r="M2268" s="7">
        <v>77.45</v>
      </c>
      <c r="N2268" s="17"/>
      <c r="P2268" s="17"/>
      <c r="Q2268" s="7">
        <f>SUM(Q2258:Q2267)</f>
        <v>-3915</v>
      </c>
      <c r="R2268" s="14">
        <f>SUM(R2258:R2267)</f>
        <v>150</v>
      </c>
      <c r="S2268" s="109">
        <f>R2268-U2268</f>
        <v>0</v>
      </c>
      <c r="T2268" s="114" t="e">
        <f>Q2268/S2268</f>
        <v>#DIV/0!</v>
      </c>
      <c r="U2268" s="14">
        <f>SUM(U2258:U2267)</f>
        <v>150</v>
      </c>
      <c r="V2268" s="17"/>
      <c r="W2268" s="66">
        <v>0.54097222222222219</v>
      </c>
      <c r="X2268" s="7">
        <v>82.35</v>
      </c>
      <c r="Y2268" s="7">
        <v>73.150000000000006</v>
      </c>
      <c r="Z2268" s="66">
        <v>0.54097222222222219</v>
      </c>
    </row>
    <row r="2269" spans="2:26" x14ac:dyDescent="0.3">
      <c r="B2269" s="14">
        <f>B2268-50</f>
        <v>14150</v>
      </c>
      <c r="C2269" s="7">
        <v>111.15</v>
      </c>
      <c r="D2269" s="23">
        <v>92</v>
      </c>
      <c r="E2269" s="16"/>
      <c r="F2269" s="98">
        <f t="shared" si="178"/>
        <v>14058</v>
      </c>
      <c r="G2269" s="17"/>
      <c r="H2269" s="7">
        <v>120.55</v>
      </c>
      <c r="I2269" s="7">
        <v>91.35</v>
      </c>
      <c r="J2269" s="7">
        <v>73.3</v>
      </c>
      <c r="K2269" s="7">
        <v>73.5</v>
      </c>
      <c r="L2269" s="7">
        <v>78.45</v>
      </c>
      <c r="M2269" s="7">
        <v>66.3</v>
      </c>
      <c r="N2269" s="17"/>
      <c r="P2269" s="17"/>
      <c r="Q2269" s="17"/>
      <c r="R2269" s="17"/>
      <c r="S2269" s="17"/>
      <c r="T2269" s="17"/>
      <c r="U2269" s="17"/>
      <c r="V2269" s="17"/>
      <c r="W2269" s="66">
        <v>6.1805555555555558E-2</v>
      </c>
      <c r="X2269" s="7">
        <v>90.15</v>
      </c>
      <c r="Y2269" s="7">
        <v>66.8</v>
      </c>
      <c r="Z2269" s="66">
        <v>6.1805555555555558E-2</v>
      </c>
    </row>
    <row r="2270" spans="2:26" x14ac:dyDescent="0.3">
      <c r="B2270" s="99">
        <f>B2269-50</f>
        <v>14100</v>
      </c>
      <c r="C2270" s="51">
        <v>95.25</v>
      </c>
      <c r="D2270" s="7">
        <v>80.75</v>
      </c>
      <c r="E2270" s="16"/>
      <c r="F2270" s="7">
        <f t="shared" si="178"/>
        <v>14019.25</v>
      </c>
      <c r="G2270" s="16"/>
      <c r="H2270" s="7">
        <v>104</v>
      </c>
      <c r="I2270" s="7">
        <v>77.650000000000006</v>
      </c>
      <c r="J2270" s="7">
        <v>62.4</v>
      </c>
      <c r="K2270" s="7">
        <v>62.85</v>
      </c>
      <c r="L2270" s="7">
        <v>66.849999999999994</v>
      </c>
      <c r="M2270" s="7">
        <v>56.35</v>
      </c>
      <c r="N2270" s="17"/>
      <c r="P2270" s="17"/>
      <c r="Q2270" s="17"/>
      <c r="R2270" s="17"/>
      <c r="S2270" s="17"/>
      <c r="T2270" s="17"/>
      <c r="U2270" s="17"/>
      <c r="V2270" s="17"/>
      <c r="W2270" s="66">
        <v>8.2638888888888887E-2</v>
      </c>
      <c r="X2270" s="7">
        <v>105.2</v>
      </c>
      <c r="Y2270" s="7">
        <v>56.75</v>
      </c>
      <c r="Z2270" s="66">
        <v>8.2638888888888887E-2</v>
      </c>
    </row>
    <row r="2271" spans="2:26" x14ac:dyDescent="0.3">
      <c r="B2271" s="5">
        <f>B2270-50</f>
        <v>14050</v>
      </c>
      <c r="C2271" s="7">
        <v>81.75</v>
      </c>
      <c r="D2271" s="7">
        <v>70.849999999999994</v>
      </c>
      <c r="E2271" s="16"/>
      <c r="F2271" s="7">
        <f t="shared" si="178"/>
        <v>13979.15</v>
      </c>
      <c r="G2271" s="16">
        <f>AVERAGE(H2270,H2261)</f>
        <v>77.974999999999994</v>
      </c>
      <c r="H2271" s="7">
        <v>89.3</v>
      </c>
      <c r="I2271" s="7">
        <v>65.599999999999994</v>
      </c>
      <c r="J2271" s="7">
        <v>53.6</v>
      </c>
      <c r="K2271" s="7">
        <v>53.75</v>
      </c>
      <c r="L2271" s="7">
        <v>57</v>
      </c>
      <c r="M2271" s="7">
        <v>48.25</v>
      </c>
      <c r="N2271" s="17"/>
      <c r="P2271" s="98">
        <f>Q2268</f>
        <v>-3915</v>
      </c>
      <c r="Q2271" s="92" t="s">
        <v>72</v>
      </c>
      <c r="R2271" s="17"/>
      <c r="T2271" s="92" t="s">
        <v>73</v>
      </c>
      <c r="U2271" s="7">
        <f>((X2263+Y2263)-(X2271+Y2271))</f>
        <v>-6.1999999999999886</v>
      </c>
      <c r="V2271" s="98">
        <f>U2271*M2252</f>
        <v>-1394.9999999999975</v>
      </c>
      <c r="W2271" s="66">
        <v>0.41944444444444445</v>
      </c>
      <c r="X2271" s="7">
        <v>74.150000000000006</v>
      </c>
      <c r="Y2271" s="7">
        <v>83.55</v>
      </c>
      <c r="Z2271" s="66">
        <v>0.4368055555555555</v>
      </c>
    </row>
    <row r="2283" spans="2:26" x14ac:dyDescent="0.3">
      <c r="B2283" s="40"/>
      <c r="C2283" s="50">
        <f>AVERAGE(B2284,D2283)</f>
        <v>14512.65</v>
      </c>
      <c r="D2283" s="51">
        <f>B2284+E2284</f>
        <v>14547.65</v>
      </c>
      <c r="E2283" s="50">
        <f>AVERAGE(D2283,F2283)</f>
        <v>14582.65</v>
      </c>
      <c r="F2283" s="50">
        <f>D2283+E2284</f>
        <v>14617.65</v>
      </c>
      <c r="G2283" s="17"/>
      <c r="H2283" s="88" t="str">
        <f>IF((C2292-D2292)&gt;(C2301-D2301),"LONG",IF(C2301&gt;D2299,"LONG","SHORT"))</f>
        <v>SHORT</v>
      </c>
      <c r="I2283" s="104">
        <v>14473</v>
      </c>
      <c r="J2283" s="105" t="s">
        <v>122</v>
      </c>
      <c r="K2283" s="106">
        <v>14535</v>
      </c>
      <c r="L2283" s="17"/>
      <c r="N2283" s="17"/>
      <c r="P2283" s="40"/>
      <c r="Q2283" s="153" t="s">
        <v>71</v>
      </c>
      <c r="R2283" s="154"/>
      <c r="S2283" s="153" t="s">
        <v>37</v>
      </c>
      <c r="T2283" s="154"/>
      <c r="U2283" s="17"/>
      <c r="V2283" s="17"/>
      <c r="W2283" s="90" t="s">
        <v>68</v>
      </c>
      <c r="X2283" s="91" t="s">
        <v>69</v>
      </c>
      <c r="Y2283" s="92" t="s">
        <v>70</v>
      </c>
      <c r="Z2283" s="90" t="s">
        <v>68</v>
      </c>
    </row>
    <row r="2284" spans="2:26" x14ac:dyDescent="0.3">
      <c r="B2284" s="50">
        <v>14477.65</v>
      </c>
      <c r="C2284" s="40"/>
      <c r="D2284" s="58"/>
      <c r="E2284" s="59">
        <f>ROUND((((B2284*F2284%)/4)/10),0)*10</f>
        <v>70</v>
      </c>
      <c r="F2284" s="51">
        <f>(100/B2284)*(F2293-F2302)</f>
        <v>1.8038148456413827</v>
      </c>
      <c r="G2284" s="17"/>
      <c r="H2284" s="93">
        <v>0.39166666666666666</v>
      </c>
      <c r="I2284" s="93">
        <v>0.39861111111111108</v>
      </c>
      <c r="J2284" s="93">
        <v>0.4055555555555555</v>
      </c>
      <c r="K2284" s="93">
        <v>0.41250000000000003</v>
      </c>
      <c r="L2284" s="17"/>
      <c r="M2284">
        <f>ROUND((53000/AVERAGE(F2296,F2298))/75,0)*75</f>
        <v>900</v>
      </c>
      <c r="N2284" s="17"/>
      <c r="P2284" s="40"/>
      <c r="Q2284" s="51">
        <f>R2284-(S2284-R2284)</f>
        <v>13812.800000000001</v>
      </c>
      <c r="R2284" s="51">
        <v>14267.95</v>
      </c>
      <c r="S2284" s="51">
        <v>14723.1</v>
      </c>
      <c r="T2284" s="51">
        <f>S2284+(S2284-R2284)</f>
        <v>15178.25</v>
      </c>
      <c r="U2284" s="17"/>
      <c r="V2284" s="17"/>
      <c r="W2284" s="66">
        <v>0.41597222222222219</v>
      </c>
      <c r="X2284" s="7">
        <v>102.25</v>
      </c>
      <c r="Y2284" s="7">
        <v>117</v>
      </c>
      <c r="Z2284" s="66">
        <v>0.41597222222222219</v>
      </c>
    </row>
    <row r="2285" spans="2:26" x14ac:dyDescent="0.3">
      <c r="B2285" s="40"/>
      <c r="C2285" s="50">
        <f>AVERAGE(B2284,D2285)</f>
        <v>14442.65</v>
      </c>
      <c r="D2285" s="51">
        <f>B2284-E2284</f>
        <v>14407.65</v>
      </c>
      <c r="E2285" s="50">
        <f>AVERAGE(D2285,F2285)</f>
        <v>14372.65</v>
      </c>
      <c r="F2285" s="50">
        <f>D2285-E2284</f>
        <v>14337.65</v>
      </c>
      <c r="G2285" s="17"/>
      <c r="H2285" s="51">
        <v>14531.05</v>
      </c>
      <c r="I2285" s="51">
        <v>14505</v>
      </c>
      <c r="J2285" s="51">
        <v>14502.75</v>
      </c>
      <c r="K2285" s="51">
        <v>14489.5</v>
      </c>
      <c r="L2285" s="17"/>
      <c r="M2285">
        <f>ROUND(((M2284/3)/75),0)*75</f>
        <v>300</v>
      </c>
      <c r="N2285" s="17"/>
      <c r="P2285" s="40"/>
      <c r="Q2285" s="17"/>
      <c r="R2285" s="17"/>
      <c r="S2285" s="17"/>
      <c r="T2285" s="16"/>
      <c r="U2285" s="17"/>
      <c r="V2285" s="17"/>
      <c r="W2285" s="66">
        <v>0.4368055555555555</v>
      </c>
      <c r="X2285" s="7">
        <v>102.6</v>
      </c>
      <c r="Y2285" s="7">
        <v>109.9</v>
      </c>
      <c r="Z2285" s="66">
        <v>0.4368055555555555</v>
      </c>
    </row>
    <row r="2286" spans="2:26" x14ac:dyDescent="0.3">
      <c r="B2286" s="17"/>
      <c r="C2286" s="17"/>
      <c r="D2286" s="17"/>
      <c r="E2286" s="17"/>
      <c r="F2286" s="16"/>
      <c r="G2286" s="16"/>
      <c r="H2286" s="17"/>
      <c r="I2286" s="17"/>
      <c r="J2286" s="17"/>
      <c r="K2286" s="16"/>
      <c r="L2286" s="17"/>
      <c r="M2286" s="17"/>
      <c r="N2286" s="17"/>
      <c r="P2286" s="40"/>
      <c r="Q2286" s="17"/>
      <c r="R2286" s="17"/>
      <c r="S2286" s="17"/>
      <c r="T2286" s="17"/>
      <c r="U2286" s="17"/>
      <c r="V2286" s="17"/>
      <c r="W2286" s="66">
        <v>0.45763888888888887</v>
      </c>
      <c r="X2286" s="7">
        <v>92.15</v>
      </c>
      <c r="Y2286" s="7">
        <v>117.65</v>
      </c>
      <c r="Z2286" s="66">
        <v>0.45763888888888887</v>
      </c>
    </row>
    <row r="2287" spans="2:26" x14ac:dyDescent="0.3">
      <c r="B2287" s="16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P2287" s="40"/>
      <c r="Q2287" s="17"/>
      <c r="R2287" s="17"/>
      <c r="S2287" s="17"/>
      <c r="T2287" s="17"/>
      <c r="U2287" s="17"/>
      <c r="V2287" s="17"/>
      <c r="W2287" s="66">
        <v>0.47847222222222219</v>
      </c>
      <c r="X2287" s="7">
        <v>69.75</v>
      </c>
      <c r="Y2287" s="7">
        <v>151</v>
      </c>
      <c r="Z2287" s="66">
        <v>0.47847222222222219</v>
      </c>
    </row>
    <row r="2288" spans="2:26" x14ac:dyDescent="0.3">
      <c r="B2288" s="17"/>
      <c r="C2288" s="95">
        <v>44306</v>
      </c>
      <c r="D2288" s="17"/>
      <c r="E2288" s="17"/>
      <c r="F2288" s="7">
        <f>AVERAGE(F2290,F2299)</f>
        <v>14484.75</v>
      </c>
      <c r="G2288" s="96"/>
      <c r="H2288" s="66">
        <v>0.42708333333333331</v>
      </c>
      <c r="I2288" s="66">
        <v>0.51250000000000007</v>
      </c>
      <c r="J2288" s="66">
        <v>0.10069444444444443</v>
      </c>
      <c r="K2288" s="66"/>
      <c r="L2288" s="66"/>
      <c r="M2288" s="66">
        <v>0.13541666666666666</v>
      </c>
      <c r="N2288" s="17"/>
      <c r="P2288" s="40"/>
      <c r="Q2288" s="17"/>
      <c r="R2288" s="17"/>
      <c r="S2288" s="17"/>
      <c r="T2288" s="17"/>
      <c r="U2288" s="17"/>
      <c r="V2288" s="17"/>
      <c r="W2288" s="66">
        <v>0.4993055555555555</v>
      </c>
      <c r="X2288" s="7">
        <v>72.349999999999994</v>
      </c>
      <c r="Y2288" s="7">
        <v>144.1</v>
      </c>
      <c r="Z2288" s="66">
        <v>0.4993055555555555</v>
      </c>
    </row>
    <row r="2289" spans="2:26" x14ac:dyDescent="0.3">
      <c r="B2289" s="90" t="s">
        <v>68</v>
      </c>
      <c r="C2289" s="66">
        <v>0.41666666666666669</v>
      </c>
      <c r="D2289" s="66">
        <v>0.41597222222222219</v>
      </c>
      <c r="E2289" s="17"/>
      <c r="F2289" s="17"/>
      <c r="G2289" s="17"/>
      <c r="H2289" s="7">
        <v>14468.05</v>
      </c>
      <c r="I2289" s="7">
        <v>14392.6</v>
      </c>
      <c r="J2289" s="23">
        <v>10.8</v>
      </c>
      <c r="K2289" s="7"/>
      <c r="L2289" s="7"/>
      <c r="M2289" s="7">
        <v>14320</v>
      </c>
      <c r="N2289" s="17"/>
      <c r="P2289" s="40"/>
      <c r="Q2289" s="155" t="s">
        <v>72</v>
      </c>
      <c r="R2289" s="155"/>
      <c r="S2289" s="155"/>
      <c r="T2289" s="155"/>
      <c r="U2289" s="155"/>
      <c r="V2289" s="17"/>
      <c r="W2289" s="66">
        <v>0.52013888888888882</v>
      </c>
      <c r="X2289" s="7">
        <v>60.6</v>
      </c>
      <c r="Y2289" s="7">
        <v>167</v>
      </c>
      <c r="Z2289" s="66">
        <v>0.52013888888888882</v>
      </c>
    </row>
    <row r="2290" spans="2:26" x14ac:dyDescent="0.3">
      <c r="B2290" s="5">
        <f>B2291-50</f>
        <v>14400</v>
      </c>
      <c r="C2290" s="7">
        <v>134</v>
      </c>
      <c r="D2290" s="7">
        <v>134</v>
      </c>
      <c r="E2290" s="16"/>
      <c r="F2290" s="7">
        <f t="shared" ref="F2290:F2295" si="179">B2290+D2290</f>
        <v>14534</v>
      </c>
      <c r="G2290" s="17"/>
      <c r="H2290" s="7">
        <v>127.45</v>
      </c>
      <c r="I2290" s="7">
        <v>79.599999999999994</v>
      </c>
      <c r="J2290" s="7">
        <v>54.05</v>
      </c>
      <c r="K2290" s="7"/>
      <c r="L2290" s="7"/>
      <c r="M2290" s="7">
        <v>45.6</v>
      </c>
      <c r="N2290" s="17"/>
      <c r="P2290" s="40"/>
      <c r="Q2290" s="34"/>
      <c r="R2290" s="34" t="s">
        <v>111</v>
      </c>
      <c r="S2290" s="34" t="s">
        <v>2</v>
      </c>
      <c r="T2290" s="34" t="s">
        <v>1</v>
      </c>
      <c r="U2290" s="34" t="s">
        <v>111</v>
      </c>
      <c r="V2290" s="17"/>
      <c r="W2290" s="66">
        <v>0.54097222222222219</v>
      </c>
      <c r="X2290" s="7">
        <v>56.4</v>
      </c>
      <c r="Y2290" s="7">
        <v>170.35</v>
      </c>
      <c r="Z2290" s="66">
        <v>0.54097222222222219</v>
      </c>
    </row>
    <row r="2291" spans="2:26" x14ac:dyDescent="0.3">
      <c r="B2291" s="5">
        <f>B2292-50</f>
        <v>14450</v>
      </c>
      <c r="C2291" s="7">
        <v>102.25</v>
      </c>
      <c r="D2291" s="7">
        <v>102.25</v>
      </c>
      <c r="E2291" s="16"/>
      <c r="F2291" s="7">
        <f t="shared" si="179"/>
        <v>14552.25</v>
      </c>
      <c r="G2291" s="17"/>
      <c r="H2291" s="7">
        <v>97</v>
      </c>
      <c r="I2291" s="7">
        <v>57.3</v>
      </c>
      <c r="J2291" s="7">
        <v>37.299999999999997</v>
      </c>
      <c r="K2291" s="7"/>
      <c r="L2291" s="7"/>
      <c r="M2291" s="7">
        <v>30.2</v>
      </c>
      <c r="P2291" s="16"/>
      <c r="Q2291" s="7">
        <f>(U2291*T2291)-(R2291*S2291)</f>
        <v>1833.75</v>
      </c>
      <c r="R2291" s="109">
        <v>75</v>
      </c>
      <c r="S2291" s="7">
        <v>59.9</v>
      </c>
      <c r="T2291" s="18">
        <v>84.35</v>
      </c>
      <c r="U2291" s="109">
        <f>R2291</f>
        <v>75</v>
      </c>
      <c r="V2291" s="17"/>
      <c r="W2291" s="66">
        <v>6.1805555555555558E-2</v>
      </c>
      <c r="X2291" s="7">
        <v>59.55</v>
      </c>
      <c r="Y2291" s="7">
        <v>161.69999999999999</v>
      </c>
      <c r="Z2291" s="66">
        <v>6.1805555555555558E-2</v>
      </c>
    </row>
    <row r="2292" spans="2:26" x14ac:dyDescent="0.3">
      <c r="B2292" s="97">
        <v>14500</v>
      </c>
      <c r="C2292" s="7">
        <v>75.45</v>
      </c>
      <c r="D2292" s="7">
        <v>75.45</v>
      </c>
      <c r="E2292" s="16"/>
      <c r="F2292" s="7">
        <f t="shared" si="179"/>
        <v>14575.45</v>
      </c>
      <c r="G2292" s="17"/>
      <c r="H2292" s="7">
        <v>70.95</v>
      </c>
      <c r="I2292" s="7">
        <v>39.549999999999997</v>
      </c>
      <c r="J2292" s="7">
        <v>25</v>
      </c>
      <c r="K2292" s="7"/>
      <c r="L2292" s="7"/>
      <c r="M2292" s="7">
        <v>19.8</v>
      </c>
      <c r="P2292" s="17"/>
      <c r="Q2292" s="7">
        <f t="shared" ref="Q2292:Q2294" si="180">(U2292*T2292)-(R2292*S2292)</f>
        <v>3517.5</v>
      </c>
      <c r="R2292" s="109">
        <v>75</v>
      </c>
      <c r="S2292" s="7">
        <v>59.9</v>
      </c>
      <c r="T2292" s="18">
        <v>106.8</v>
      </c>
      <c r="U2292" s="109">
        <v>75</v>
      </c>
      <c r="V2292" s="17"/>
      <c r="W2292" s="66">
        <v>8.2638888888888887E-2</v>
      </c>
      <c r="X2292" s="7">
        <v>54.35</v>
      </c>
      <c r="Y2292" s="7">
        <v>169.05</v>
      </c>
      <c r="Z2292" s="66">
        <v>8.2638888888888887E-2</v>
      </c>
    </row>
    <row r="2293" spans="2:26" x14ac:dyDescent="0.3">
      <c r="B2293" s="5">
        <f>B2292+50</f>
        <v>14550</v>
      </c>
      <c r="C2293" s="7">
        <v>54</v>
      </c>
      <c r="D2293" s="23">
        <v>54</v>
      </c>
      <c r="E2293" s="16"/>
      <c r="F2293" s="98">
        <f t="shared" si="179"/>
        <v>14604</v>
      </c>
      <c r="G2293" s="17"/>
      <c r="H2293" s="7">
        <v>50.55</v>
      </c>
      <c r="I2293" s="7">
        <v>26.15</v>
      </c>
      <c r="J2293" s="7">
        <v>16.149999999999999</v>
      </c>
      <c r="K2293" s="7"/>
      <c r="L2293" s="7"/>
      <c r="M2293" s="7">
        <v>12.5</v>
      </c>
      <c r="N2293" s="17"/>
      <c r="P2293" s="17"/>
      <c r="Q2293" s="7">
        <f t="shared" si="180"/>
        <v>0</v>
      </c>
      <c r="R2293" s="109"/>
      <c r="S2293" s="18"/>
      <c r="T2293" s="18"/>
      <c r="U2293" s="109">
        <f t="shared" ref="U2293:U2294" si="181">R2293</f>
        <v>0</v>
      </c>
      <c r="V2293" s="17"/>
      <c r="W2293" s="17"/>
      <c r="X2293" s="17"/>
      <c r="Y2293" s="17"/>
      <c r="Z2293" s="17"/>
    </row>
    <row r="2294" spans="2:26" x14ac:dyDescent="0.3">
      <c r="B2294" s="99">
        <f>B2293+50</f>
        <v>14600</v>
      </c>
      <c r="C2294" s="51">
        <v>37.200000000000003</v>
      </c>
      <c r="D2294" s="7">
        <v>37.200000000000003</v>
      </c>
      <c r="E2294" s="16"/>
      <c r="F2294" s="7">
        <f t="shared" si="179"/>
        <v>14637.2</v>
      </c>
      <c r="G2294" s="17"/>
      <c r="H2294" s="7">
        <v>34.299999999999997</v>
      </c>
      <c r="I2294" s="7">
        <v>17.149999999999999</v>
      </c>
      <c r="J2294" s="7">
        <v>10.45</v>
      </c>
      <c r="K2294" s="7"/>
      <c r="L2294" s="7"/>
      <c r="M2294" s="7">
        <v>8.15</v>
      </c>
      <c r="N2294" s="17"/>
      <c r="P2294" s="17"/>
      <c r="Q2294" s="7">
        <f t="shared" si="180"/>
        <v>0</v>
      </c>
      <c r="R2294" s="109"/>
      <c r="S2294" s="18"/>
      <c r="T2294" s="18"/>
      <c r="U2294" s="109">
        <f t="shared" si="181"/>
        <v>0</v>
      </c>
      <c r="V2294" s="17"/>
      <c r="W2294" s="90" t="s">
        <v>68</v>
      </c>
      <c r="X2294" s="91" t="s">
        <v>69</v>
      </c>
      <c r="Y2294" s="92" t="s">
        <v>70</v>
      </c>
      <c r="Z2294" s="90" t="s">
        <v>68</v>
      </c>
    </row>
    <row r="2295" spans="2:26" x14ac:dyDescent="0.3">
      <c r="B2295" s="5">
        <f>B2294+50</f>
        <v>14650</v>
      </c>
      <c r="C2295" s="7">
        <v>24.85</v>
      </c>
      <c r="D2295" s="7">
        <v>24.85</v>
      </c>
      <c r="E2295" s="16">
        <f>E2296-(F2296-E2296)</f>
        <v>20.174999999999969</v>
      </c>
      <c r="F2295" s="7">
        <f t="shared" si="179"/>
        <v>14674.85</v>
      </c>
      <c r="G2295" s="16"/>
      <c r="H2295" s="7">
        <v>22.45</v>
      </c>
      <c r="I2295" s="7">
        <v>10.8</v>
      </c>
      <c r="J2295" s="7">
        <v>6.7</v>
      </c>
      <c r="K2295" s="7"/>
      <c r="L2295" s="7"/>
      <c r="M2295" s="7">
        <v>5.2</v>
      </c>
      <c r="N2295" s="17"/>
      <c r="P2295" s="17"/>
      <c r="Q2295" s="7"/>
      <c r="R2295" s="109"/>
      <c r="S2295" s="109"/>
      <c r="T2295" s="114"/>
      <c r="U2295" s="109"/>
      <c r="V2295" s="17"/>
      <c r="W2295" s="66">
        <v>0.41597222222222219</v>
      </c>
      <c r="X2295" s="7">
        <v>37.200000000000003</v>
      </c>
      <c r="Y2295" s="7">
        <v>59.35</v>
      </c>
      <c r="Z2295" s="66">
        <v>0.41597222222222219</v>
      </c>
    </row>
    <row r="2296" spans="2:26" x14ac:dyDescent="0.3">
      <c r="B2296" s="17"/>
      <c r="C2296" s="17"/>
      <c r="D2296" s="16"/>
      <c r="E2296" s="16">
        <f>F2296-(G2296-F2296)</f>
        <v>38.424999999999983</v>
      </c>
      <c r="F2296" s="16">
        <f>AVERAGE(C2293,C2303)</f>
        <v>56.674999999999997</v>
      </c>
      <c r="G2296" s="16">
        <f>AVERAGE(C2292,C2302)</f>
        <v>74.925000000000011</v>
      </c>
      <c r="H2296" s="101"/>
      <c r="I2296" s="101"/>
      <c r="J2296" s="101"/>
      <c r="K2296" s="101"/>
      <c r="L2296" s="101"/>
      <c r="M2296" s="101"/>
      <c r="N2296" s="17"/>
      <c r="P2296" s="17"/>
      <c r="Q2296" s="17"/>
      <c r="R2296" s="17"/>
      <c r="S2296" s="17"/>
      <c r="T2296" s="17"/>
      <c r="U2296" s="16"/>
      <c r="V2296" s="16"/>
      <c r="W2296" s="66">
        <v>0.42708333333333331</v>
      </c>
      <c r="X2296" s="7">
        <v>34.299999999999997</v>
      </c>
      <c r="Y2296" s="7">
        <v>54.75</v>
      </c>
      <c r="Z2296" s="66">
        <v>0.4368055555555555</v>
      </c>
    </row>
    <row r="2297" spans="2:26" x14ac:dyDescent="0.3">
      <c r="B2297" s="17"/>
      <c r="C2297" s="95">
        <v>44308</v>
      </c>
      <c r="D2297" s="17"/>
      <c r="F2297" s="16"/>
      <c r="H2297" s="66">
        <v>0.42708333333333331</v>
      </c>
      <c r="I2297" s="66">
        <v>0.51250000000000007</v>
      </c>
      <c r="J2297" s="66">
        <v>0.10069444444444443</v>
      </c>
      <c r="K2297" s="66"/>
      <c r="L2297" s="66"/>
      <c r="M2297" s="66">
        <v>0.13541666666666666</v>
      </c>
      <c r="N2297" s="17"/>
      <c r="P2297" s="17"/>
      <c r="Q2297" s="7">
        <f t="shared" ref="Q2297:Q2300" si="182">(U2297*T2297)-(R2297*S2297)</f>
        <v>0</v>
      </c>
      <c r="R2297" s="109"/>
      <c r="S2297" s="7"/>
      <c r="T2297" s="7"/>
      <c r="U2297" s="109">
        <f>R2297</f>
        <v>0</v>
      </c>
      <c r="V2297" s="17"/>
      <c r="W2297" s="66">
        <v>0.45763888888888887</v>
      </c>
      <c r="X2297" s="7">
        <v>31.2</v>
      </c>
      <c r="Y2297" s="7">
        <v>57.2</v>
      </c>
      <c r="Z2297" s="66">
        <v>0.45763888888888887</v>
      </c>
    </row>
    <row r="2298" spans="2:26" x14ac:dyDescent="0.3">
      <c r="B2298" s="90" t="s">
        <v>68</v>
      </c>
      <c r="C2298" s="66">
        <v>0.41666666666666669</v>
      </c>
      <c r="D2298" s="66">
        <v>0.39166666666666666</v>
      </c>
      <c r="E2298" s="16">
        <f>F2298-(G2298-F2298)</f>
        <v>44.050000000000011</v>
      </c>
      <c r="F2298" s="16">
        <f>AVERAGE(C2302,C2293)</f>
        <v>64.2</v>
      </c>
      <c r="G2298" s="16">
        <f>AVERAGE(C2301,C2292)</f>
        <v>84.35</v>
      </c>
      <c r="H2298" s="23">
        <v>64.2</v>
      </c>
      <c r="I2298" s="23">
        <v>84.35</v>
      </c>
      <c r="J2298" s="7">
        <v>14327.85</v>
      </c>
      <c r="K2298" s="7"/>
      <c r="L2298" s="7"/>
      <c r="M2298" s="7">
        <v>14320</v>
      </c>
      <c r="N2298" s="17"/>
      <c r="P2298" s="17"/>
      <c r="Q2298" s="7">
        <f t="shared" si="182"/>
        <v>0</v>
      </c>
      <c r="R2298" s="109"/>
      <c r="S2298" s="7"/>
      <c r="T2298" s="7"/>
      <c r="U2298" s="109">
        <f>R2298</f>
        <v>0</v>
      </c>
      <c r="V2298" s="17"/>
      <c r="W2298" s="66">
        <v>0.47847222222222219</v>
      </c>
      <c r="X2298" s="7">
        <v>22.05</v>
      </c>
      <c r="Y2298" s="7">
        <v>76.5</v>
      </c>
      <c r="Z2298" s="66">
        <v>0.47847222222222219</v>
      </c>
    </row>
    <row r="2299" spans="2:26" x14ac:dyDescent="0.3">
      <c r="B2299" s="5">
        <f>B2300+50</f>
        <v>14550</v>
      </c>
      <c r="C2299" s="7">
        <v>144.19999999999999</v>
      </c>
      <c r="D2299" s="7">
        <v>114.5</v>
      </c>
      <c r="E2299" s="16">
        <f>E2298-(F2298-E2298)</f>
        <v>23.90000000000002</v>
      </c>
      <c r="F2299" s="7">
        <f t="shared" ref="F2299:F2304" si="183">B2299-D2299</f>
        <v>14435.5</v>
      </c>
      <c r="G2299" s="16"/>
      <c r="H2299" s="7">
        <v>148.35</v>
      </c>
      <c r="I2299" s="7">
        <v>202.05</v>
      </c>
      <c r="J2299" s="7">
        <v>256.5</v>
      </c>
      <c r="K2299" s="7"/>
      <c r="L2299" s="7"/>
      <c r="M2299" s="7">
        <v>253</v>
      </c>
      <c r="N2299" s="17"/>
      <c r="P2299" s="17"/>
      <c r="Q2299" s="7">
        <f t="shared" si="182"/>
        <v>0</v>
      </c>
      <c r="R2299" s="109"/>
      <c r="S2299" s="18"/>
      <c r="T2299" s="18"/>
      <c r="U2299" s="109">
        <f>R2299</f>
        <v>0</v>
      </c>
      <c r="V2299" s="16"/>
      <c r="W2299" s="66">
        <v>0.4993055555555555</v>
      </c>
      <c r="X2299" s="7">
        <v>23.55</v>
      </c>
      <c r="Y2299" s="7">
        <v>71.5</v>
      </c>
      <c r="Z2299" s="66">
        <v>0.4993055555555555</v>
      </c>
    </row>
    <row r="2300" spans="2:26" x14ac:dyDescent="0.3">
      <c r="B2300" s="5">
        <f>B2301+50</f>
        <v>14500</v>
      </c>
      <c r="C2300" s="7">
        <v>117</v>
      </c>
      <c r="D2300" s="7">
        <v>91</v>
      </c>
      <c r="E2300" s="16"/>
      <c r="F2300" s="7">
        <f t="shared" si="183"/>
        <v>14409</v>
      </c>
      <c r="G2300" s="17"/>
      <c r="H2300" s="7">
        <v>118.85</v>
      </c>
      <c r="I2300" s="7">
        <v>165.6</v>
      </c>
      <c r="J2300" s="7">
        <v>214.55</v>
      </c>
      <c r="K2300" s="7"/>
      <c r="L2300" s="7"/>
      <c r="M2300" s="7">
        <v>210</v>
      </c>
      <c r="N2300" s="17"/>
      <c r="P2300" s="17"/>
      <c r="Q2300" s="7">
        <f t="shared" si="182"/>
        <v>0</v>
      </c>
      <c r="R2300" s="109"/>
      <c r="S2300" s="18"/>
      <c r="T2300" s="18"/>
      <c r="U2300" s="109">
        <f>R2300</f>
        <v>0</v>
      </c>
      <c r="V2300" s="16"/>
      <c r="W2300" s="66">
        <v>0.52013888888888882</v>
      </c>
      <c r="X2300" s="7">
        <v>18.45</v>
      </c>
      <c r="Y2300" s="7">
        <v>85.7</v>
      </c>
      <c r="Z2300" s="66">
        <v>0.52013888888888882</v>
      </c>
    </row>
    <row r="2301" spans="2:26" x14ac:dyDescent="0.3">
      <c r="B2301" s="97">
        <v>14450</v>
      </c>
      <c r="C2301" s="7">
        <v>93.25</v>
      </c>
      <c r="D2301" s="7">
        <v>72</v>
      </c>
      <c r="E2301" s="16"/>
      <c r="F2301" s="7">
        <f t="shared" si="183"/>
        <v>14378</v>
      </c>
      <c r="G2301" s="17"/>
      <c r="H2301" s="7">
        <v>94.65</v>
      </c>
      <c r="I2301" s="7">
        <v>133.80000000000001</v>
      </c>
      <c r="J2301" s="7">
        <v>175.9</v>
      </c>
      <c r="K2301" s="7"/>
      <c r="L2301" s="7"/>
      <c r="M2301" s="7">
        <v>170.75</v>
      </c>
      <c r="N2301" s="17"/>
      <c r="P2301" s="17"/>
      <c r="Q2301" s="7">
        <f>SUM(Q2291:Q2300)</f>
        <v>5351.25</v>
      </c>
      <c r="R2301" s="14">
        <f>SUM(R2291:R2300)</f>
        <v>150</v>
      </c>
      <c r="S2301" s="109">
        <f>R2301-U2301</f>
        <v>0</v>
      </c>
      <c r="T2301" s="114" t="e">
        <f>Q2301/S2301</f>
        <v>#DIV/0!</v>
      </c>
      <c r="U2301" s="14">
        <f>SUM(U2291:U2300)</f>
        <v>150</v>
      </c>
      <c r="V2301" s="17"/>
      <c r="W2301" s="66">
        <v>0.54097222222222219</v>
      </c>
      <c r="X2301" s="7">
        <v>17</v>
      </c>
      <c r="Y2301" s="7">
        <v>87.45</v>
      </c>
      <c r="Z2301" s="66">
        <v>0.54097222222222219</v>
      </c>
    </row>
    <row r="2302" spans="2:26" x14ac:dyDescent="0.3">
      <c r="B2302" s="14">
        <f>B2301-50</f>
        <v>14400</v>
      </c>
      <c r="C2302" s="7">
        <v>74.400000000000006</v>
      </c>
      <c r="D2302" s="23">
        <v>57.15</v>
      </c>
      <c r="E2302" s="16"/>
      <c r="F2302" s="98">
        <f t="shared" si="183"/>
        <v>14342.85</v>
      </c>
      <c r="G2302" s="17"/>
      <c r="H2302" s="7">
        <v>75.599999999999994</v>
      </c>
      <c r="I2302" s="7">
        <v>106.35</v>
      </c>
      <c r="J2302" s="7">
        <v>143.19999999999999</v>
      </c>
      <c r="K2302" s="7"/>
      <c r="L2302" s="7"/>
      <c r="M2302" s="7">
        <v>136.6</v>
      </c>
      <c r="N2302" s="17"/>
      <c r="P2302" s="17"/>
      <c r="Q2302" s="17"/>
      <c r="R2302" s="17"/>
      <c r="S2302" s="17"/>
      <c r="T2302" s="17"/>
      <c r="U2302" s="17"/>
      <c r="V2302" s="17"/>
      <c r="W2302" s="66">
        <v>6.1805555555555558E-2</v>
      </c>
      <c r="X2302" s="7">
        <v>17.8</v>
      </c>
      <c r="Y2302" s="7">
        <v>81.3</v>
      </c>
      <c r="Z2302" s="66">
        <v>6.1805555555555558E-2</v>
      </c>
    </row>
    <row r="2303" spans="2:26" x14ac:dyDescent="0.3">
      <c r="B2303" s="99">
        <f>B2302-50</f>
        <v>14350</v>
      </c>
      <c r="C2303" s="51">
        <v>59.35</v>
      </c>
      <c r="D2303" s="7">
        <v>46.55</v>
      </c>
      <c r="E2303" s="16"/>
      <c r="F2303" s="7">
        <f t="shared" si="183"/>
        <v>14303.45</v>
      </c>
      <c r="G2303" s="17"/>
      <c r="H2303" s="7">
        <v>59.9</v>
      </c>
      <c r="I2303" s="7">
        <v>83.4</v>
      </c>
      <c r="J2303" s="7">
        <v>115</v>
      </c>
      <c r="K2303" s="7"/>
      <c r="L2303" s="7"/>
      <c r="M2303" s="7">
        <v>106.8</v>
      </c>
      <c r="N2303" s="17"/>
      <c r="P2303" s="17"/>
      <c r="Q2303" s="17"/>
      <c r="R2303" s="17"/>
      <c r="S2303" s="17"/>
      <c r="T2303" s="17"/>
      <c r="U2303" s="17"/>
      <c r="V2303" s="17"/>
      <c r="W2303" s="66">
        <v>8.2638888888888887E-2</v>
      </c>
      <c r="X2303" s="7">
        <v>15.9</v>
      </c>
      <c r="Y2303" s="7">
        <v>84.5</v>
      </c>
      <c r="Z2303" s="66">
        <v>8.2638888888888887E-2</v>
      </c>
    </row>
    <row r="2304" spans="2:26" x14ac:dyDescent="0.3">
      <c r="B2304" s="5">
        <f>B2303-50</f>
        <v>14300</v>
      </c>
      <c r="C2304" s="7">
        <v>48</v>
      </c>
      <c r="D2304" s="7">
        <v>37.799999999999997</v>
      </c>
      <c r="E2304" s="16"/>
      <c r="F2304" s="7">
        <f t="shared" si="183"/>
        <v>14262.2</v>
      </c>
      <c r="G2304" s="16">
        <f>AVERAGE(H2303,H2295)</f>
        <v>41.174999999999997</v>
      </c>
      <c r="H2304" s="7">
        <v>47.75</v>
      </c>
      <c r="I2304" s="7">
        <v>65</v>
      </c>
      <c r="J2304" s="7">
        <v>92.5</v>
      </c>
      <c r="K2304" s="7"/>
      <c r="L2304" s="7"/>
      <c r="M2304" s="7">
        <v>81.95</v>
      </c>
      <c r="N2304" s="17"/>
      <c r="P2304" s="98">
        <f>Q2301</f>
        <v>5351.25</v>
      </c>
      <c r="Q2304" s="92" t="s">
        <v>72</v>
      </c>
      <c r="R2304" s="17"/>
      <c r="T2304" s="92" t="s">
        <v>73</v>
      </c>
      <c r="U2304" s="7">
        <f>((X2296+Y2296)-(X2304+Y2304))</f>
        <v>-2.9000000000000057</v>
      </c>
      <c r="V2304" s="98">
        <f>U2304*M2285</f>
        <v>-870.00000000000171</v>
      </c>
      <c r="W2304" s="66">
        <v>0.13541666666666666</v>
      </c>
      <c r="X2304" s="7">
        <v>37.200000000000003</v>
      </c>
      <c r="Y2304" s="7">
        <v>54.75</v>
      </c>
      <c r="Z2304" s="66">
        <v>0.4368055555555555</v>
      </c>
    </row>
    <row r="2316" spans="2:26" x14ac:dyDescent="0.3">
      <c r="B2316" s="40"/>
      <c r="C2316" s="50">
        <f>AVERAGE(B2317,D2316)</f>
        <v>14327</v>
      </c>
      <c r="D2316" s="51">
        <f>B2317+E2317</f>
        <v>14392</v>
      </c>
      <c r="E2316" s="50">
        <f>AVERAGE(D2316,F2316)</f>
        <v>14457</v>
      </c>
      <c r="F2316" s="50">
        <f>D2316+E2317</f>
        <v>14522</v>
      </c>
      <c r="G2316" s="17"/>
      <c r="H2316" s="88" t="str">
        <f>IF((C2325-D2325)&gt;(C2334-D2334),"LONG",IF(C2334&gt;D2332,"LONG","SHORT"))</f>
        <v>LONG</v>
      </c>
      <c r="I2316" s="104">
        <v>14155</v>
      </c>
      <c r="J2316" s="105" t="s">
        <v>122</v>
      </c>
      <c r="K2316" s="106">
        <v>14277</v>
      </c>
      <c r="L2316" s="17"/>
      <c r="M2316" s="115">
        <f>900*(AVERAGE(AVERAGE(F2329,F2331),AVERAGE(E2332,E2328)))</f>
        <v>96142.499999999985</v>
      </c>
      <c r="N2316" s="17"/>
      <c r="Q2316" s="153" t="s">
        <v>71</v>
      </c>
      <c r="R2316" s="154"/>
      <c r="S2316" s="153" t="s">
        <v>37</v>
      </c>
      <c r="T2316" s="154"/>
      <c r="U2316" s="17"/>
      <c r="V2316" s="17"/>
      <c r="W2316" s="90" t="s">
        <v>68</v>
      </c>
      <c r="X2316" s="91" t="s">
        <v>69</v>
      </c>
      <c r="Y2316" s="92" t="s">
        <v>70</v>
      </c>
      <c r="Z2316" s="90" t="s">
        <v>68</v>
      </c>
    </row>
    <row r="2317" spans="2:26" x14ac:dyDescent="0.3">
      <c r="B2317" s="50">
        <v>14262</v>
      </c>
      <c r="C2317" s="40"/>
      <c r="D2317" s="58"/>
      <c r="E2317" s="59">
        <f>ROUND((((B2317*F2317%)/4)/10),0)*10</f>
        <v>130</v>
      </c>
      <c r="F2317" s="51">
        <f>(100/B2317)*(F2326-F2335)</f>
        <v>3.7291403730192143</v>
      </c>
      <c r="G2317" s="17"/>
      <c r="H2317" s="93">
        <v>0.39166666666666666</v>
      </c>
      <c r="I2317" s="93">
        <v>0.39861111111111108</v>
      </c>
      <c r="J2317" s="93">
        <v>0.4055555555555555</v>
      </c>
      <c r="K2317" s="93">
        <v>0.41250000000000003</v>
      </c>
      <c r="M2317">
        <v>63000</v>
      </c>
      <c r="N2317" s="17"/>
      <c r="Q2317" s="51">
        <f>R2317-(S2317-R2317)</f>
        <v>13812.800000000001</v>
      </c>
      <c r="R2317" s="51">
        <v>14267.95</v>
      </c>
      <c r="S2317" s="51">
        <v>14723.1</v>
      </c>
      <c r="T2317" s="51">
        <f>S2317+(S2317-R2317)</f>
        <v>15178.25</v>
      </c>
      <c r="U2317" s="17"/>
      <c r="V2317" s="17"/>
      <c r="W2317" s="66">
        <v>0.41597222222222219</v>
      </c>
      <c r="X2317" s="7">
        <v>176.3</v>
      </c>
      <c r="Y2317" s="7">
        <v>155.6</v>
      </c>
      <c r="Z2317" s="66">
        <v>0.41597222222222219</v>
      </c>
    </row>
    <row r="2318" spans="2:26" x14ac:dyDescent="0.3">
      <c r="B2318" s="40"/>
      <c r="C2318" s="50">
        <f>AVERAGE(B2317,D2318)</f>
        <v>14197</v>
      </c>
      <c r="D2318" s="51">
        <f>B2317-E2317</f>
        <v>14132</v>
      </c>
      <c r="E2318" s="50">
        <f>AVERAGE(D2318,F2318)</f>
        <v>14067</v>
      </c>
      <c r="F2318" s="50">
        <f>D2318-E2317</f>
        <v>14002</v>
      </c>
      <c r="G2318" s="17"/>
      <c r="H2318" s="51">
        <v>14208.95</v>
      </c>
      <c r="I2318" s="51">
        <v>14213.6</v>
      </c>
      <c r="J2318" s="51">
        <v>14250</v>
      </c>
      <c r="K2318" s="51">
        <v>14261.55</v>
      </c>
      <c r="L2318" s="17"/>
      <c r="M2318">
        <f>ROUND((M2317/900)/75,0)*75</f>
        <v>75</v>
      </c>
      <c r="N2318" s="17"/>
      <c r="Q2318" s="17"/>
      <c r="R2318" s="17"/>
      <c r="S2318" s="17"/>
      <c r="T2318" s="16"/>
      <c r="U2318" s="17"/>
      <c r="V2318" s="17"/>
      <c r="W2318" s="66">
        <v>0.4368055555555555</v>
      </c>
      <c r="X2318" s="7">
        <v>181.65</v>
      </c>
      <c r="Y2318" s="7">
        <v>155.9</v>
      </c>
      <c r="Z2318" s="66">
        <v>0.4368055555555555</v>
      </c>
    </row>
    <row r="2319" spans="2:26" x14ac:dyDescent="0.3">
      <c r="B2319" s="17"/>
      <c r="C2319" s="17"/>
      <c r="D2319" s="17"/>
      <c r="E2319" s="17"/>
      <c r="F2319" s="16"/>
      <c r="G2319" s="16"/>
      <c r="H2319" s="17"/>
      <c r="I2319" s="17"/>
      <c r="J2319" s="17"/>
      <c r="K2319" s="16"/>
      <c r="L2319" s="17"/>
      <c r="M2319" s="17"/>
      <c r="N2319" s="17"/>
      <c r="Q2319" s="17"/>
      <c r="R2319" s="17"/>
      <c r="S2319" s="17"/>
      <c r="T2319" s="17"/>
      <c r="U2319" s="17"/>
      <c r="V2319" s="17"/>
      <c r="W2319" s="66">
        <v>0.45763888888888887</v>
      </c>
      <c r="X2319" s="7">
        <v>181.2</v>
      </c>
      <c r="Y2319" s="7">
        <v>160</v>
      </c>
      <c r="Z2319" s="66">
        <v>0.45763888888888887</v>
      </c>
    </row>
    <row r="2320" spans="2:26" x14ac:dyDescent="0.3">
      <c r="B2320" s="16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Q2320" s="17"/>
      <c r="R2320" s="17"/>
      <c r="S2320" s="17"/>
      <c r="T2320" s="17"/>
      <c r="U2320" s="17"/>
      <c r="V2320" s="17"/>
      <c r="W2320" s="66">
        <v>0.47847222222222219</v>
      </c>
      <c r="X2320" s="7">
        <v>188.8</v>
      </c>
      <c r="Y2320" s="7">
        <v>152.44999999999999</v>
      </c>
      <c r="Z2320" s="66">
        <v>0.47847222222222219</v>
      </c>
    </row>
    <row r="2321" spans="2:26" x14ac:dyDescent="0.3">
      <c r="B2321" s="17"/>
      <c r="C2321" s="95">
        <v>44308</v>
      </c>
      <c r="D2321" s="17"/>
      <c r="E2321" s="17"/>
      <c r="F2321" s="7">
        <f>AVERAGE(F2323,F2332)</f>
        <v>14236.05</v>
      </c>
      <c r="G2321" s="96"/>
      <c r="H2321" s="66">
        <v>0.48888888888888887</v>
      </c>
      <c r="I2321" s="66">
        <v>0.49583333333333335</v>
      </c>
      <c r="J2321" s="66">
        <v>0.50347222222222221</v>
      </c>
      <c r="K2321" s="66"/>
      <c r="L2321" s="66"/>
      <c r="M2321" s="66">
        <v>0.13472222222222222</v>
      </c>
      <c r="N2321" s="17"/>
      <c r="Q2321" s="17"/>
      <c r="R2321" s="17"/>
      <c r="S2321" s="17"/>
      <c r="T2321" s="17"/>
      <c r="U2321" s="17"/>
      <c r="V2321" s="17"/>
      <c r="W2321" s="66">
        <v>0.4993055555555555</v>
      </c>
      <c r="X2321" s="7">
        <v>218</v>
      </c>
      <c r="Y2321" s="7">
        <v>143.44999999999999</v>
      </c>
      <c r="Z2321" s="66">
        <v>0.4993055555555555</v>
      </c>
    </row>
    <row r="2322" spans="2:26" x14ac:dyDescent="0.3">
      <c r="B2322" s="90" t="s">
        <v>68</v>
      </c>
      <c r="C2322" s="66">
        <v>0.41666666666666669</v>
      </c>
      <c r="D2322" s="66">
        <v>0.38750000000000001</v>
      </c>
      <c r="E2322" s="17"/>
      <c r="F2322" s="17"/>
      <c r="G2322" s="17"/>
      <c r="H2322" s="23">
        <v>126</v>
      </c>
      <c r="I2322" s="23">
        <v>145.1</v>
      </c>
      <c r="J2322" s="23">
        <v>126</v>
      </c>
      <c r="K2322" s="7"/>
      <c r="L2322" s="7"/>
      <c r="M2322" s="7">
        <v>14400</v>
      </c>
      <c r="N2322" s="17"/>
      <c r="Q2322" s="150" t="s">
        <v>72</v>
      </c>
      <c r="R2322" s="151"/>
      <c r="S2322" s="151"/>
      <c r="T2322" s="151"/>
      <c r="U2322" s="152"/>
      <c r="V2322" s="17"/>
      <c r="W2322" s="66">
        <v>0.52013888888888882</v>
      </c>
      <c r="X2322" s="7">
        <v>212.45</v>
      </c>
      <c r="Y2322" s="7">
        <v>145.19999999999999</v>
      </c>
      <c r="Z2322" s="66">
        <v>0.52013888888888882</v>
      </c>
    </row>
    <row r="2323" spans="2:26" x14ac:dyDescent="0.3">
      <c r="B2323" s="5">
        <f>B2324-50</f>
        <v>14250</v>
      </c>
      <c r="C2323" s="7">
        <v>206</v>
      </c>
      <c r="D2323" s="7">
        <v>161.85</v>
      </c>
      <c r="E2323" s="16"/>
      <c r="F2323" s="7">
        <f t="shared" ref="F2323:F2328" si="184">B2323+D2323</f>
        <v>14411.85</v>
      </c>
      <c r="G2323" s="17"/>
      <c r="H2323" s="7">
        <v>236.85</v>
      </c>
      <c r="I2323" s="7">
        <v>253.55</v>
      </c>
      <c r="J2323" s="7">
        <v>228</v>
      </c>
      <c r="K2323" s="7"/>
      <c r="L2323" s="7"/>
      <c r="M2323" s="7">
        <v>286.75</v>
      </c>
      <c r="N2323" s="17"/>
      <c r="Q2323" s="34"/>
      <c r="R2323" s="34" t="s">
        <v>111</v>
      </c>
      <c r="S2323" s="34" t="s">
        <v>2</v>
      </c>
      <c r="T2323" s="34" t="s">
        <v>1</v>
      </c>
      <c r="U2323" s="34" t="s">
        <v>111</v>
      </c>
      <c r="V2323" s="17"/>
      <c r="W2323" s="66">
        <v>0.54097222222222219</v>
      </c>
      <c r="X2323" s="7">
        <v>228.55</v>
      </c>
      <c r="Y2323" s="7">
        <v>135.75</v>
      </c>
      <c r="Z2323" s="66">
        <v>0.54097222222222219</v>
      </c>
    </row>
    <row r="2324" spans="2:26" x14ac:dyDescent="0.3">
      <c r="B2324" s="5">
        <f>B2325-50</f>
        <v>14300</v>
      </c>
      <c r="C2324" s="7">
        <v>176.3</v>
      </c>
      <c r="D2324" s="7">
        <v>137.05000000000001</v>
      </c>
      <c r="E2324" s="16"/>
      <c r="F2324" s="7">
        <f t="shared" si="184"/>
        <v>14437.05</v>
      </c>
      <c r="G2324" s="17"/>
      <c r="H2324" s="7">
        <v>205.95</v>
      </c>
      <c r="I2324" s="7">
        <v>222.55</v>
      </c>
      <c r="J2324" s="7">
        <v>197.8</v>
      </c>
      <c r="K2324" s="7"/>
      <c r="L2324" s="7"/>
      <c r="M2324" s="7">
        <v>252.85</v>
      </c>
      <c r="P2324" s="17"/>
      <c r="Q2324" s="7">
        <f>(U2324*T2324)-(R2324*S2324)</f>
        <v>1132.5</v>
      </c>
      <c r="R2324" s="109">
        <v>75</v>
      </c>
      <c r="S2324" s="7">
        <v>130</v>
      </c>
      <c r="T2324" s="18">
        <v>145.1</v>
      </c>
      <c r="U2324" s="109">
        <f>R2324</f>
        <v>75</v>
      </c>
      <c r="V2324" s="17"/>
      <c r="W2324" s="66">
        <v>6.1805555555555558E-2</v>
      </c>
      <c r="X2324" s="7">
        <v>220.95</v>
      </c>
      <c r="Y2324" s="7">
        <v>132</v>
      </c>
      <c r="Z2324" s="66">
        <v>6.1805555555555558E-2</v>
      </c>
    </row>
    <row r="2325" spans="2:26" x14ac:dyDescent="0.3">
      <c r="B2325" s="97">
        <v>14350</v>
      </c>
      <c r="C2325" s="7">
        <v>151</v>
      </c>
      <c r="D2325" s="7">
        <v>116.1</v>
      </c>
      <c r="E2325" s="16"/>
      <c r="F2325" s="7">
        <f t="shared" si="184"/>
        <v>14466.1</v>
      </c>
      <c r="G2325" s="17"/>
      <c r="H2325" s="7">
        <v>179</v>
      </c>
      <c r="I2325" s="7">
        <v>194.45</v>
      </c>
      <c r="J2325" s="7">
        <v>171.65</v>
      </c>
      <c r="K2325" s="7"/>
      <c r="L2325" s="7"/>
      <c r="M2325" s="7">
        <v>221.95</v>
      </c>
      <c r="P2325" s="17"/>
      <c r="Q2325" s="7">
        <f t="shared" ref="Q2325:Q2327" si="185">(U2325*T2325)-(R2325*S2325)</f>
        <v>2643.75</v>
      </c>
      <c r="R2325" s="109">
        <v>75</v>
      </c>
      <c r="S2325" s="7">
        <v>130</v>
      </c>
      <c r="T2325" s="18">
        <v>165.25</v>
      </c>
      <c r="U2325" s="109">
        <f t="shared" ref="U2325:U2327" si="186">R2325</f>
        <v>75</v>
      </c>
      <c r="V2325" s="17"/>
      <c r="W2325" s="66">
        <v>8.2638888888888887E-2</v>
      </c>
      <c r="X2325" s="7">
        <v>243.9</v>
      </c>
      <c r="Y2325" s="7">
        <v>120.75</v>
      </c>
      <c r="Z2325" s="66">
        <v>8.2638888888888887E-2</v>
      </c>
    </row>
    <row r="2326" spans="2:26" x14ac:dyDescent="0.3">
      <c r="B2326" s="5">
        <f>B2325+50</f>
        <v>14400</v>
      </c>
      <c r="C2326" s="7">
        <v>128.1</v>
      </c>
      <c r="D2326" s="23">
        <v>96.75</v>
      </c>
      <c r="E2326" s="16"/>
      <c r="F2326" s="98">
        <f t="shared" si="184"/>
        <v>14496.75</v>
      </c>
      <c r="G2326" s="17"/>
      <c r="H2326" s="7">
        <v>152.80000000000001</v>
      </c>
      <c r="I2326" s="7">
        <v>166.55</v>
      </c>
      <c r="J2326" s="7">
        <v>146.55000000000001</v>
      </c>
      <c r="K2326" s="7"/>
      <c r="L2326" s="7"/>
      <c r="M2326" s="7">
        <v>191.85</v>
      </c>
      <c r="N2326" s="17"/>
      <c r="P2326" s="17"/>
      <c r="Q2326" s="7">
        <f t="shared" si="185"/>
        <v>0</v>
      </c>
      <c r="R2326" s="109"/>
      <c r="S2326" s="18"/>
      <c r="T2326" s="18"/>
      <c r="U2326" s="109">
        <f t="shared" si="186"/>
        <v>0</v>
      </c>
      <c r="V2326" s="17"/>
      <c r="W2326" s="17"/>
      <c r="X2326" s="17"/>
      <c r="Y2326" s="17"/>
      <c r="Z2326" s="17"/>
    </row>
    <row r="2327" spans="2:26" x14ac:dyDescent="0.3">
      <c r="B2327" s="99">
        <f>B2326+50</f>
        <v>14450</v>
      </c>
      <c r="C2327" s="51">
        <v>107.1</v>
      </c>
      <c r="D2327" s="7">
        <v>81.099999999999994</v>
      </c>
      <c r="E2327" s="16"/>
      <c r="F2327" s="7">
        <f t="shared" si="184"/>
        <v>14531.1</v>
      </c>
      <c r="G2327" s="17"/>
      <c r="H2327" s="7">
        <v>130</v>
      </c>
      <c r="I2327" s="7">
        <v>143.25</v>
      </c>
      <c r="J2327" s="7">
        <v>124.55</v>
      </c>
      <c r="K2327" s="7"/>
      <c r="L2327" s="7"/>
      <c r="M2327" s="7">
        <v>165.25</v>
      </c>
      <c r="N2327" s="17"/>
      <c r="P2327" s="17"/>
      <c r="Q2327" s="7">
        <f t="shared" si="185"/>
        <v>0</v>
      </c>
      <c r="R2327" s="109"/>
      <c r="S2327" s="18"/>
      <c r="T2327" s="18"/>
      <c r="U2327" s="109">
        <f t="shared" si="186"/>
        <v>0</v>
      </c>
      <c r="V2327" s="17"/>
      <c r="W2327" s="90" t="s">
        <v>68</v>
      </c>
      <c r="X2327" s="91" t="s">
        <v>69</v>
      </c>
      <c r="Y2327" s="92" t="s">
        <v>70</v>
      </c>
      <c r="Z2327" s="90" t="s">
        <v>68</v>
      </c>
    </row>
    <row r="2328" spans="2:26" x14ac:dyDescent="0.3">
      <c r="B2328" s="5">
        <f>B2327+50</f>
        <v>14500</v>
      </c>
      <c r="C2328" s="7">
        <v>88.65</v>
      </c>
      <c r="D2328" s="7">
        <v>65.400000000000006</v>
      </c>
      <c r="E2328" s="16">
        <f>E2329-(F2329-E2329)</f>
        <v>87.649999999999977</v>
      </c>
      <c r="F2328" s="7">
        <f t="shared" si="184"/>
        <v>14565.4</v>
      </c>
      <c r="G2328" s="16"/>
      <c r="H2328" s="7">
        <v>108.6</v>
      </c>
      <c r="I2328" s="7">
        <v>121.6</v>
      </c>
      <c r="J2328" s="7">
        <v>103.8</v>
      </c>
      <c r="K2328" s="7"/>
      <c r="L2328" s="7"/>
      <c r="M2328" s="7">
        <v>139.85</v>
      </c>
      <c r="N2328" s="17"/>
      <c r="P2328" s="17"/>
      <c r="Q2328" s="7"/>
      <c r="R2328" s="109"/>
      <c r="S2328" s="109"/>
      <c r="T2328" s="114"/>
      <c r="U2328" s="109"/>
      <c r="V2328" s="17"/>
      <c r="W2328" s="66">
        <v>0.41597222222222219</v>
      </c>
      <c r="X2328" s="7">
        <v>107.1</v>
      </c>
      <c r="Y2328" s="7">
        <v>111.5</v>
      </c>
      <c r="Z2328" s="66">
        <v>0.41597222222222219</v>
      </c>
    </row>
    <row r="2329" spans="2:26" x14ac:dyDescent="0.3">
      <c r="B2329" s="17"/>
      <c r="C2329" s="17"/>
      <c r="D2329" s="16"/>
      <c r="E2329" s="16">
        <f>F2329-(G2329-F2329)</f>
        <v>106.82499999999999</v>
      </c>
      <c r="F2329" s="16">
        <f>AVERAGE(C2326,C2336)</f>
        <v>126</v>
      </c>
      <c r="G2329" s="16">
        <f>AVERAGE(C2325,C2335)</f>
        <v>145.17500000000001</v>
      </c>
      <c r="H2329" s="101"/>
      <c r="I2329" s="101"/>
      <c r="J2329" s="101"/>
      <c r="K2329" s="101"/>
      <c r="L2329" s="101"/>
      <c r="M2329" s="101"/>
      <c r="N2329" s="17"/>
      <c r="P2329" s="17"/>
      <c r="Q2329" s="17"/>
      <c r="R2329" s="17"/>
      <c r="S2329" s="17"/>
      <c r="T2329" s="17"/>
      <c r="U2329" s="16"/>
      <c r="V2329" s="16"/>
      <c r="W2329" s="66">
        <v>0.48888888888888887</v>
      </c>
      <c r="X2329" s="7">
        <v>130</v>
      </c>
      <c r="Y2329" s="7">
        <v>102.4</v>
      </c>
      <c r="Z2329" s="66">
        <v>0.48888888888888887</v>
      </c>
    </row>
    <row r="2330" spans="2:26" x14ac:dyDescent="0.3">
      <c r="B2330" s="17"/>
      <c r="C2330" s="95">
        <v>44315</v>
      </c>
      <c r="D2330" s="17"/>
      <c r="F2330" s="16"/>
      <c r="H2330" s="66">
        <v>0.48888888888888887</v>
      </c>
      <c r="I2330" s="66">
        <v>0.49583333333333335</v>
      </c>
      <c r="J2330" s="66">
        <v>0.50347222222222221</v>
      </c>
      <c r="K2330" s="66"/>
      <c r="L2330" s="66"/>
      <c r="M2330" s="66">
        <v>0.13472222222222222</v>
      </c>
      <c r="N2330" s="17"/>
      <c r="P2330" s="17"/>
      <c r="Q2330" s="7">
        <f t="shared" ref="Q2330:Q2333" si="187">(U2330*T2330)-(R2330*S2330)</f>
        <v>0</v>
      </c>
      <c r="R2330" s="109"/>
      <c r="S2330" s="7"/>
      <c r="T2330" s="7"/>
      <c r="U2330" s="109">
        <f>R2330</f>
        <v>0</v>
      </c>
      <c r="V2330" s="17"/>
      <c r="W2330" s="66">
        <v>0.45763888888888887</v>
      </c>
      <c r="X2330" s="7">
        <v>111.35</v>
      </c>
      <c r="Y2330" s="7">
        <v>114.9</v>
      </c>
      <c r="Z2330" s="66">
        <v>0.45763888888888887</v>
      </c>
    </row>
    <row r="2331" spans="2:26" x14ac:dyDescent="0.3">
      <c r="B2331" s="90" t="s">
        <v>68</v>
      </c>
      <c r="C2331" s="66">
        <v>0.41666666666666669</v>
      </c>
      <c r="D2331" s="66">
        <v>0.4145833333333333</v>
      </c>
      <c r="E2331" s="16">
        <f>F2331-(G2331-F2331)</f>
        <v>106.82499999999999</v>
      </c>
      <c r="F2331" s="16">
        <f>AVERAGE(C2336,C2326)</f>
        <v>126</v>
      </c>
      <c r="G2331" s="16">
        <f>AVERAGE(C2335,C2325)</f>
        <v>145.17500000000001</v>
      </c>
      <c r="H2331" s="7">
        <v>14312.55</v>
      </c>
      <c r="I2331" s="7">
        <v>14332</v>
      </c>
      <c r="J2331" s="7">
        <v>14296</v>
      </c>
      <c r="K2331" s="7"/>
      <c r="L2331" s="7"/>
      <c r="M2331" s="7">
        <v>14400</v>
      </c>
      <c r="N2331" s="17"/>
      <c r="P2331" s="17"/>
      <c r="Q2331" s="7">
        <f t="shared" si="187"/>
        <v>0</v>
      </c>
      <c r="R2331" s="109"/>
      <c r="S2331" s="7"/>
      <c r="T2331" s="7"/>
      <c r="U2331" s="109">
        <f>R2331</f>
        <v>0</v>
      </c>
      <c r="V2331" s="17"/>
      <c r="W2331" s="66">
        <v>0.47847222222222219</v>
      </c>
      <c r="X2331" s="7">
        <v>120</v>
      </c>
      <c r="Y2331" s="7">
        <v>110.15</v>
      </c>
      <c r="Z2331" s="66">
        <v>0.47847222222222219</v>
      </c>
    </row>
    <row r="2332" spans="2:26" x14ac:dyDescent="0.3">
      <c r="B2332" s="5">
        <f>B2333+50</f>
        <v>14250</v>
      </c>
      <c r="C2332" s="7">
        <v>194.45</v>
      </c>
      <c r="D2332" s="7">
        <v>189.75</v>
      </c>
      <c r="E2332" s="16">
        <f>E2331-(F2331-E2331)</f>
        <v>87.649999999999977</v>
      </c>
      <c r="F2332" s="7">
        <f t="shared" ref="F2332:F2337" si="188">B2332-D2332</f>
        <v>14060.25</v>
      </c>
      <c r="G2332" s="16"/>
      <c r="H2332" s="7">
        <v>175.95</v>
      </c>
      <c r="I2332" s="7">
        <v>173.35</v>
      </c>
      <c r="J2332" s="7">
        <v>183.7</v>
      </c>
      <c r="K2332" s="7"/>
      <c r="L2332" s="7"/>
      <c r="M2332" s="7">
        <v>139.94999999999999</v>
      </c>
      <c r="N2332" s="17"/>
      <c r="P2332" s="17"/>
      <c r="Q2332" s="7">
        <f t="shared" si="187"/>
        <v>0</v>
      </c>
      <c r="R2332" s="109"/>
      <c r="S2332" s="18"/>
      <c r="T2332" s="18"/>
      <c r="U2332" s="109"/>
      <c r="V2332" s="16"/>
      <c r="W2332" s="66">
        <v>0.4993055555555555</v>
      </c>
      <c r="X2332" s="7">
        <v>140.05000000000001</v>
      </c>
      <c r="Y2332" s="7">
        <v>104.8</v>
      </c>
      <c r="Z2332" s="66">
        <v>0.4993055555555555</v>
      </c>
    </row>
    <row r="2333" spans="2:26" x14ac:dyDescent="0.3">
      <c r="B2333" s="5">
        <f>B2334+50</f>
        <v>14200</v>
      </c>
      <c r="C2333" s="7">
        <v>173.65</v>
      </c>
      <c r="D2333" s="7">
        <v>169.75</v>
      </c>
      <c r="E2333" s="16"/>
      <c r="F2333" s="7">
        <f t="shared" si="188"/>
        <v>14030.25</v>
      </c>
      <c r="G2333" s="17"/>
      <c r="H2333" s="7">
        <v>157.25</v>
      </c>
      <c r="I2333" s="7">
        <v>155.80000000000001</v>
      </c>
      <c r="J2333" s="7">
        <v>164.25</v>
      </c>
      <c r="K2333" s="7"/>
      <c r="L2333" s="7"/>
      <c r="M2333" s="7">
        <v>124.55</v>
      </c>
      <c r="N2333" s="17"/>
      <c r="P2333" s="17"/>
      <c r="Q2333" s="7">
        <f t="shared" si="187"/>
        <v>0</v>
      </c>
      <c r="R2333" s="109"/>
      <c r="S2333" s="18"/>
      <c r="T2333" s="18"/>
      <c r="U2333" s="109"/>
      <c r="V2333" s="16"/>
      <c r="W2333" s="66">
        <v>0.52013888888888882</v>
      </c>
      <c r="X2333" s="7">
        <v>135.35</v>
      </c>
      <c r="Y2333" s="7">
        <v>105.25</v>
      </c>
      <c r="Z2333" s="66">
        <v>0.52013888888888882</v>
      </c>
    </row>
    <row r="2334" spans="2:26" x14ac:dyDescent="0.3">
      <c r="B2334" s="97">
        <v>14150</v>
      </c>
      <c r="C2334" s="7">
        <v>155.6</v>
      </c>
      <c r="D2334" s="7">
        <v>151.55000000000001</v>
      </c>
      <c r="E2334" s="16"/>
      <c r="F2334" s="7">
        <f t="shared" si="188"/>
        <v>13998.45</v>
      </c>
      <c r="G2334" s="17"/>
      <c r="H2334" s="7">
        <v>140.9</v>
      </c>
      <c r="I2334" s="7">
        <v>139.4</v>
      </c>
      <c r="J2334" s="7">
        <v>148.44999999999999</v>
      </c>
      <c r="K2334" s="7"/>
      <c r="L2334" s="7"/>
      <c r="M2334" s="7">
        <v>111.3</v>
      </c>
      <c r="N2334" s="17"/>
      <c r="P2334" s="17"/>
      <c r="Q2334" s="7">
        <f>SUM(Q2324:Q2333)</f>
        <v>3776.25</v>
      </c>
      <c r="R2334" s="14">
        <f>SUM(R2324:R2333)</f>
        <v>150</v>
      </c>
      <c r="S2334" s="109">
        <f>R2334-U2334</f>
        <v>0</v>
      </c>
      <c r="T2334" s="114" t="e">
        <f>Q2334/S2334</f>
        <v>#DIV/0!</v>
      </c>
      <c r="U2334" s="14">
        <f>SUM(U2324:U2333)</f>
        <v>150</v>
      </c>
      <c r="V2334" s="17"/>
      <c r="W2334" s="66">
        <v>0.54097222222222219</v>
      </c>
      <c r="X2334" s="7">
        <v>147.25</v>
      </c>
      <c r="Y2334" s="7">
        <v>99.25</v>
      </c>
      <c r="Z2334" s="66">
        <v>0.54097222222222219</v>
      </c>
    </row>
    <row r="2335" spans="2:26" x14ac:dyDescent="0.3">
      <c r="B2335" s="14">
        <f>B2334-50</f>
        <v>14100</v>
      </c>
      <c r="C2335" s="7">
        <v>139.35</v>
      </c>
      <c r="D2335" s="23">
        <v>135.1</v>
      </c>
      <c r="E2335" s="16"/>
      <c r="F2335" s="98">
        <f t="shared" si="188"/>
        <v>13964.9</v>
      </c>
      <c r="G2335" s="17"/>
      <c r="H2335" s="7">
        <v>126.95</v>
      </c>
      <c r="I2335" s="7">
        <v>125.75</v>
      </c>
      <c r="J2335" s="7">
        <v>133.4</v>
      </c>
      <c r="K2335" s="7"/>
      <c r="L2335" s="7"/>
      <c r="M2335" s="7">
        <v>98.8</v>
      </c>
      <c r="N2335" s="17"/>
      <c r="P2335" s="17"/>
      <c r="Q2335" s="17"/>
      <c r="R2335" s="17"/>
      <c r="S2335" s="17"/>
      <c r="T2335" s="17"/>
      <c r="U2335" s="17"/>
      <c r="V2335" s="17"/>
      <c r="W2335" s="66">
        <v>6.1805555555555558E-2</v>
      </c>
      <c r="X2335" s="7">
        <v>139.25</v>
      </c>
      <c r="Y2335" s="7">
        <v>96.5</v>
      </c>
      <c r="Z2335" s="66">
        <v>6.1805555555555558E-2</v>
      </c>
    </row>
    <row r="2336" spans="2:26" x14ac:dyDescent="0.3">
      <c r="B2336" s="99">
        <f>B2335-50</f>
        <v>14050</v>
      </c>
      <c r="C2336" s="7">
        <v>123.9</v>
      </c>
      <c r="D2336" s="7">
        <v>121.35</v>
      </c>
      <c r="E2336" s="16"/>
      <c r="F2336" s="7">
        <f t="shared" si="188"/>
        <v>13928.65</v>
      </c>
      <c r="G2336" s="17"/>
      <c r="H2336" s="7">
        <v>113.8</v>
      </c>
      <c r="I2336" s="7">
        <v>113.9</v>
      </c>
      <c r="J2336" s="7">
        <v>120.2</v>
      </c>
      <c r="K2336" s="7"/>
      <c r="L2336" s="7"/>
      <c r="M2336" s="7">
        <v>88.15</v>
      </c>
      <c r="N2336" s="17"/>
      <c r="P2336" s="17"/>
      <c r="Q2336" s="17"/>
      <c r="R2336" s="17"/>
      <c r="S2336" s="17"/>
      <c r="T2336" s="17"/>
      <c r="U2336" s="17"/>
      <c r="V2336" s="17"/>
      <c r="W2336" s="66">
        <v>8.2638888888888887E-2</v>
      </c>
      <c r="X2336" s="7">
        <v>156.4</v>
      </c>
      <c r="Y2336" s="7">
        <v>88.6</v>
      </c>
      <c r="Z2336" s="66">
        <v>8.2638888888888887E-2</v>
      </c>
    </row>
    <row r="2337" spans="2:26" x14ac:dyDescent="0.3">
      <c r="B2337" s="5">
        <f>B2336-50</f>
        <v>14000</v>
      </c>
      <c r="C2337" s="51">
        <v>111.5</v>
      </c>
      <c r="D2337" s="7">
        <v>108.35</v>
      </c>
      <c r="E2337" s="16"/>
      <c r="F2337" s="7">
        <f t="shared" si="188"/>
        <v>13891.65</v>
      </c>
      <c r="G2337" s="116">
        <f>AVERAGE(H2327,H2339)</f>
        <v>111</v>
      </c>
      <c r="H2337" s="7">
        <v>102.4</v>
      </c>
      <c r="I2337" s="7">
        <v>102</v>
      </c>
      <c r="J2337" s="7">
        <v>107.9</v>
      </c>
      <c r="K2337" s="7"/>
      <c r="L2337" s="7"/>
      <c r="M2337" s="7">
        <v>78.599999999999994</v>
      </c>
      <c r="N2337" s="17"/>
      <c r="P2337" s="98">
        <f>Q2334</f>
        <v>3776.25</v>
      </c>
      <c r="Q2337" s="92" t="s">
        <v>72</v>
      </c>
      <c r="R2337" s="17"/>
      <c r="T2337" s="92" t="s">
        <v>73</v>
      </c>
      <c r="U2337" s="7">
        <f>((X2329+Y2329)-(X2337+Y2337))</f>
        <v>10.400000000000006</v>
      </c>
      <c r="V2337" s="98">
        <f>U2337*M2318*2</f>
        <v>1560.0000000000009</v>
      </c>
      <c r="W2337" s="66">
        <v>0.48888888888888887</v>
      </c>
      <c r="X2337" s="23">
        <v>130</v>
      </c>
      <c r="Y2337" s="7">
        <v>92</v>
      </c>
      <c r="Z2337" s="66">
        <v>0.13541666666666666</v>
      </c>
    </row>
    <row r="2338" spans="2:26" x14ac:dyDescent="0.3">
      <c r="H2338" s="101"/>
      <c r="I2338" s="101"/>
    </row>
    <row r="2339" spans="2:26" x14ac:dyDescent="0.3">
      <c r="B2339" s="40"/>
      <c r="C2339" s="101"/>
      <c r="D2339" s="101"/>
      <c r="E2339" s="40"/>
      <c r="H2339" s="18">
        <v>92</v>
      </c>
      <c r="I2339" s="18">
        <v>92</v>
      </c>
      <c r="J2339" s="18">
        <v>96.5</v>
      </c>
    </row>
    <row r="2349" spans="2:26" x14ac:dyDescent="0.3">
      <c r="B2349" s="40"/>
      <c r="C2349" s="50">
        <f>AVERAGE(B2350,D2349)</f>
        <v>14432.3</v>
      </c>
      <c r="D2349" s="51">
        <f>B2350+E2350</f>
        <v>14497.3</v>
      </c>
      <c r="E2349" s="50">
        <f>AVERAGE(D2349,F2349)</f>
        <v>14562.3</v>
      </c>
      <c r="F2349" s="50">
        <f>D2349+E2350</f>
        <v>14627.3</v>
      </c>
      <c r="G2349" s="17"/>
      <c r="H2349" s="88" t="str">
        <f>IF((C2358-D2358)&gt;(C2367-D2367),"LONG",IF(C2367&gt;D2365,"LONG","SHORT"))</f>
        <v>LONG</v>
      </c>
      <c r="I2349" s="104">
        <v>14321</v>
      </c>
      <c r="J2349" s="105" t="s">
        <v>122</v>
      </c>
      <c r="K2349" s="106">
        <v>14395</v>
      </c>
      <c r="L2349" s="17"/>
      <c r="M2349" s="115">
        <f>900*(AVERAGE(AVERAGE(F2362,F2364),AVERAGE(E2365,E2361)))</f>
        <v>73732.5</v>
      </c>
      <c r="N2349" s="17"/>
      <c r="Q2349" s="153" t="s">
        <v>71</v>
      </c>
      <c r="R2349" s="154"/>
      <c r="S2349" s="153" t="s">
        <v>37</v>
      </c>
      <c r="T2349" s="154"/>
      <c r="U2349" s="17"/>
      <c r="V2349" s="17"/>
      <c r="W2349" s="90" t="s">
        <v>68</v>
      </c>
      <c r="X2349" s="91" t="s">
        <v>69</v>
      </c>
      <c r="Y2349" s="92" t="s">
        <v>70</v>
      </c>
      <c r="Z2349" s="90" t="s">
        <v>68</v>
      </c>
    </row>
    <row r="2350" spans="2:26" x14ac:dyDescent="0.3">
      <c r="B2350" s="50">
        <v>14367.3</v>
      </c>
      <c r="C2350" s="40"/>
      <c r="D2350" s="58"/>
      <c r="E2350" s="59">
        <f>ROUND((((B2350*F2350%)/4)/10),0)*10</f>
        <v>130</v>
      </c>
      <c r="F2350" s="51">
        <f>(100/B2350)*(F2359-F2368)</f>
        <v>3.516666318654166</v>
      </c>
      <c r="G2350" s="17"/>
      <c r="H2350" s="93">
        <v>0.39166666666666666</v>
      </c>
      <c r="I2350" s="93">
        <v>0.39861111111111108</v>
      </c>
      <c r="J2350" s="93">
        <v>0.4055555555555555</v>
      </c>
      <c r="K2350" s="93">
        <v>0.41250000000000003</v>
      </c>
      <c r="M2350">
        <v>35000</v>
      </c>
      <c r="N2350" s="17"/>
      <c r="Q2350" s="51">
        <f>R2350-(S2350-R2350)</f>
        <v>14046.35</v>
      </c>
      <c r="R2350" s="51">
        <v>14262</v>
      </c>
      <c r="S2350" s="51">
        <v>14477.65</v>
      </c>
      <c r="T2350" s="51">
        <f>S2350+(S2350-R2350)</f>
        <v>14693.3</v>
      </c>
      <c r="U2350" s="17"/>
      <c r="V2350" s="17"/>
      <c r="W2350" s="66">
        <v>0.41597222222222219</v>
      </c>
      <c r="X2350" s="7">
        <v>152.94999999999999</v>
      </c>
      <c r="Y2350" s="7">
        <v>127.15</v>
      </c>
      <c r="Z2350" s="66">
        <v>0.41597222222222219</v>
      </c>
    </row>
    <row r="2351" spans="2:26" x14ac:dyDescent="0.3">
      <c r="B2351" s="40"/>
      <c r="C2351" s="50">
        <f>AVERAGE(B2350,D2351)</f>
        <v>14302.3</v>
      </c>
      <c r="D2351" s="51">
        <f>B2350-E2350</f>
        <v>14237.3</v>
      </c>
      <c r="E2351" s="50">
        <f>AVERAGE(D2351,F2351)</f>
        <v>14172.3</v>
      </c>
      <c r="F2351" s="50">
        <f>D2351-E2350</f>
        <v>14107.3</v>
      </c>
      <c r="G2351" s="17"/>
      <c r="H2351" s="51">
        <v>14365.6</v>
      </c>
      <c r="I2351" s="51">
        <v>14329.9</v>
      </c>
      <c r="J2351" s="51">
        <v>14343.75</v>
      </c>
      <c r="K2351" s="51">
        <v>14336.6</v>
      </c>
      <c r="L2351" s="17"/>
      <c r="M2351">
        <f>ROUND((M2350/900)/75,0)*75</f>
        <v>75</v>
      </c>
      <c r="N2351" s="17"/>
      <c r="Q2351" s="17"/>
      <c r="R2351" s="17"/>
      <c r="S2351" s="17"/>
      <c r="T2351" s="16"/>
      <c r="U2351" s="17"/>
      <c r="V2351" s="17"/>
      <c r="W2351" s="66">
        <v>0.4368055555555555</v>
      </c>
      <c r="X2351" s="7">
        <v>180.05</v>
      </c>
      <c r="Y2351" s="7">
        <v>111.3</v>
      </c>
      <c r="Z2351" s="66">
        <v>0.4368055555555555</v>
      </c>
    </row>
    <row r="2352" spans="2:26" x14ac:dyDescent="0.3">
      <c r="B2352" s="17"/>
      <c r="C2352" s="17"/>
      <c r="D2352" s="17"/>
      <c r="E2352" s="17"/>
      <c r="F2352" s="16"/>
      <c r="G2352" s="16"/>
      <c r="H2352" s="17"/>
      <c r="I2352" s="17"/>
      <c r="J2352" s="17"/>
      <c r="K2352" s="16"/>
      <c r="L2352" s="17"/>
      <c r="M2352" s="17"/>
      <c r="N2352" s="17"/>
      <c r="Q2352" s="17"/>
      <c r="R2352" s="17"/>
      <c r="S2352" s="17"/>
      <c r="T2352" s="17"/>
      <c r="U2352" s="17"/>
      <c r="V2352" s="17"/>
      <c r="W2352" s="66">
        <v>0.45763888888888887</v>
      </c>
      <c r="X2352" s="7">
        <v>172.55</v>
      </c>
      <c r="Y2352" s="7">
        <v>117.05</v>
      </c>
      <c r="Z2352" s="66">
        <v>0.45763888888888887</v>
      </c>
    </row>
    <row r="2353" spans="2:26" x14ac:dyDescent="0.3">
      <c r="B2353" s="16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Q2353" s="17"/>
      <c r="R2353" s="17"/>
      <c r="S2353" s="17"/>
      <c r="T2353" s="17"/>
      <c r="U2353" s="17"/>
      <c r="V2353" s="17"/>
      <c r="W2353" s="66">
        <v>0.47847222222222219</v>
      </c>
      <c r="X2353" s="7">
        <v>197.25</v>
      </c>
      <c r="Y2353" s="7">
        <v>103.2</v>
      </c>
      <c r="Z2353" s="66">
        <v>0.47847222222222219</v>
      </c>
    </row>
    <row r="2354" spans="2:26" x14ac:dyDescent="0.3">
      <c r="B2354" s="17"/>
      <c r="C2354" s="95">
        <v>44309</v>
      </c>
      <c r="D2354" s="17"/>
      <c r="E2354" s="17"/>
      <c r="F2354" s="7">
        <f>AVERAGE(F2356,F2365)</f>
        <v>14351.775</v>
      </c>
      <c r="G2354" s="96"/>
      <c r="H2354" s="66">
        <v>0.42777777777777781</v>
      </c>
      <c r="I2354" s="66">
        <v>0.46875</v>
      </c>
      <c r="J2354" s="66">
        <v>0.51527777777777783</v>
      </c>
      <c r="K2354" s="66"/>
      <c r="L2354" s="66">
        <v>0.12847222222222224</v>
      </c>
      <c r="M2354" s="66">
        <v>0.13541666666666666</v>
      </c>
      <c r="N2354" s="17"/>
      <c r="Q2354" s="17"/>
      <c r="R2354" s="17"/>
      <c r="S2354" s="17"/>
      <c r="T2354" s="17"/>
      <c r="U2354" s="17"/>
      <c r="V2354" s="17"/>
      <c r="W2354" s="66">
        <v>0.4993055555555555</v>
      </c>
      <c r="X2354" s="7">
        <v>183.5</v>
      </c>
      <c r="Y2354" s="7">
        <v>111</v>
      </c>
      <c r="Z2354" s="66">
        <v>0.4993055555555555</v>
      </c>
    </row>
    <row r="2355" spans="2:26" x14ac:dyDescent="0.3">
      <c r="B2355" s="90" t="s">
        <v>68</v>
      </c>
      <c r="C2355" s="66">
        <v>0.41666666666666669</v>
      </c>
      <c r="D2355" s="66">
        <v>0.39652777777777781</v>
      </c>
      <c r="E2355" s="17"/>
      <c r="F2355" s="17"/>
      <c r="G2355" s="17"/>
      <c r="H2355" s="23">
        <v>100.8</v>
      </c>
      <c r="I2355" s="23">
        <v>119.8</v>
      </c>
      <c r="J2355" s="23">
        <v>89.5</v>
      </c>
      <c r="K2355" s="66">
        <v>0.11319444444444444</v>
      </c>
      <c r="L2355" s="23">
        <v>70</v>
      </c>
      <c r="M2355" s="7">
        <v>14337.3</v>
      </c>
      <c r="N2355" s="17"/>
      <c r="Q2355" s="155" t="s">
        <v>72</v>
      </c>
      <c r="R2355" s="155"/>
      <c r="S2355" s="155"/>
      <c r="T2355" s="155"/>
      <c r="U2355" s="155"/>
      <c r="V2355" s="17"/>
      <c r="W2355" s="66">
        <v>0.52013888888888882</v>
      </c>
      <c r="X2355" s="7">
        <v>162.55000000000001</v>
      </c>
      <c r="Y2355" s="7">
        <v>119.55</v>
      </c>
      <c r="Z2355" s="66">
        <v>0.52013888888888882</v>
      </c>
    </row>
    <row r="2356" spans="2:26" x14ac:dyDescent="0.3">
      <c r="B2356" s="5">
        <f>B2357-50</f>
        <v>14350</v>
      </c>
      <c r="C2356" s="7">
        <v>180.8</v>
      </c>
      <c r="D2356" s="7">
        <v>164</v>
      </c>
      <c r="E2356" s="16"/>
      <c r="F2356" s="7">
        <f t="shared" ref="F2356:F2361" si="189">B2356+D2356</f>
        <v>14514</v>
      </c>
      <c r="G2356" s="116">
        <f>AVERAGE(H2360,H2372)</f>
        <v>83.9</v>
      </c>
      <c r="H2356" s="7">
        <v>200.65</v>
      </c>
      <c r="I2356" s="7">
        <v>237.5</v>
      </c>
      <c r="J2356" s="7">
        <v>190.45</v>
      </c>
      <c r="K2356" s="7"/>
      <c r="L2356" s="7">
        <v>161.1</v>
      </c>
      <c r="M2356" s="7">
        <v>159.44999999999999</v>
      </c>
      <c r="N2356" s="17"/>
      <c r="Q2356" s="34"/>
      <c r="R2356" s="34" t="s">
        <v>111</v>
      </c>
      <c r="S2356" s="34" t="s">
        <v>2</v>
      </c>
      <c r="T2356" s="34" t="s">
        <v>1</v>
      </c>
      <c r="U2356" s="34" t="s">
        <v>111</v>
      </c>
      <c r="V2356" s="17"/>
      <c r="W2356" s="66">
        <v>0.54097222222222219</v>
      </c>
      <c r="X2356" s="7">
        <v>162.55000000000001</v>
      </c>
      <c r="Y2356" s="7">
        <v>121.9</v>
      </c>
      <c r="Z2356" s="66">
        <v>0.54097222222222219</v>
      </c>
    </row>
    <row r="2357" spans="2:26" x14ac:dyDescent="0.3">
      <c r="B2357" s="5">
        <f>B2358-50</f>
        <v>14400</v>
      </c>
      <c r="C2357" s="7">
        <v>152.94999999999999</v>
      </c>
      <c r="D2357" s="7">
        <v>138.65</v>
      </c>
      <c r="E2357" s="16"/>
      <c r="F2357" s="7">
        <f t="shared" si="189"/>
        <v>14538.65</v>
      </c>
      <c r="G2357" s="17"/>
      <c r="H2357" s="7">
        <v>172.1</v>
      </c>
      <c r="I2357" s="7">
        <v>204.85</v>
      </c>
      <c r="J2357" s="7">
        <v>161.35</v>
      </c>
      <c r="K2357" s="7"/>
      <c r="L2357" s="7">
        <v>135</v>
      </c>
      <c r="M2357" s="7">
        <v>133</v>
      </c>
      <c r="P2357" s="17"/>
      <c r="Q2357" s="7">
        <f>(U2357*T2357)-(R2357*S2357)</f>
        <v>1488.75</v>
      </c>
      <c r="R2357" s="109">
        <f>M2351</f>
        <v>75</v>
      </c>
      <c r="S2357" s="7">
        <v>99.95</v>
      </c>
      <c r="T2357" s="18">
        <v>119.8</v>
      </c>
      <c r="U2357" s="109">
        <f>R2357</f>
        <v>75</v>
      </c>
      <c r="V2357" s="17"/>
      <c r="W2357" s="66">
        <v>6.1805555555555558E-2</v>
      </c>
      <c r="X2357" s="7">
        <v>183.2</v>
      </c>
      <c r="Y2357" s="7">
        <v>106.35</v>
      </c>
      <c r="Z2357" s="66">
        <v>6.1805555555555558E-2</v>
      </c>
    </row>
    <row r="2358" spans="2:26" x14ac:dyDescent="0.3">
      <c r="B2358" s="97">
        <v>14450</v>
      </c>
      <c r="C2358" s="7">
        <v>128.30000000000001</v>
      </c>
      <c r="D2358" s="7">
        <v>115.75</v>
      </c>
      <c r="E2358" s="16"/>
      <c r="F2358" s="7">
        <f t="shared" si="189"/>
        <v>14565.75</v>
      </c>
      <c r="G2358" s="17"/>
      <c r="H2358" s="7">
        <v>145.94999999999999</v>
      </c>
      <c r="I2358" s="7">
        <v>174.25</v>
      </c>
      <c r="J2358" s="7">
        <v>135.55000000000001</v>
      </c>
      <c r="K2358" s="7"/>
      <c r="L2358" s="7">
        <v>110.95</v>
      </c>
      <c r="M2358" s="7">
        <v>109.15</v>
      </c>
      <c r="P2358" s="17"/>
      <c r="Q2358" s="7">
        <f t="shared" ref="Q2358:Q2360" si="190">(U2358*T2358)-(R2358*S2358)</f>
        <v>-783.75</v>
      </c>
      <c r="R2358" s="109">
        <v>75</v>
      </c>
      <c r="S2358" s="7">
        <v>99.95</v>
      </c>
      <c r="T2358" s="18">
        <v>89.5</v>
      </c>
      <c r="U2358" s="109">
        <f t="shared" ref="U2358:U2360" si="191">R2358</f>
        <v>75</v>
      </c>
      <c r="V2358" s="17"/>
      <c r="W2358" s="66">
        <v>8.2638888888888887E-2</v>
      </c>
      <c r="X2358" s="7">
        <v>154.80000000000001</v>
      </c>
      <c r="Y2358" s="7">
        <v>84.6</v>
      </c>
      <c r="Z2358" s="66">
        <v>8.2638888888888887E-2</v>
      </c>
    </row>
    <row r="2359" spans="2:26" x14ac:dyDescent="0.3">
      <c r="B2359" s="5">
        <f>B2358+50</f>
        <v>14500</v>
      </c>
      <c r="C2359" s="7">
        <v>104.95</v>
      </c>
      <c r="D2359" s="23">
        <v>94.35</v>
      </c>
      <c r="E2359" s="16"/>
      <c r="F2359" s="98">
        <f t="shared" si="189"/>
        <v>14594.35</v>
      </c>
      <c r="G2359" s="17"/>
      <c r="H2359" s="7">
        <v>121.1</v>
      </c>
      <c r="I2359" s="7">
        <v>146.55000000000001</v>
      </c>
      <c r="J2359" s="7">
        <v>111.4</v>
      </c>
      <c r="K2359" s="7"/>
      <c r="L2359" s="7">
        <v>90</v>
      </c>
      <c r="M2359" s="7">
        <v>87.4</v>
      </c>
      <c r="N2359" s="17"/>
      <c r="P2359" s="17"/>
      <c r="Q2359" s="7">
        <f t="shared" si="190"/>
        <v>0</v>
      </c>
      <c r="R2359" s="109"/>
      <c r="S2359" s="18"/>
      <c r="T2359" s="18"/>
      <c r="U2359" s="109">
        <f t="shared" si="191"/>
        <v>0</v>
      </c>
      <c r="V2359" s="17"/>
      <c r="W2359" s="17"/>
      <c r="X2359" s="17"/>
      <c r="Y2359" s="17"/>
      <c r="Z2359" s="17"/>
    </row>
    <row r="2360" spans="2:26" x14ac:dyDescent="0.3">
      <c r="B2360" s="99">
        <f>B2359+50</f>
        <v>14550</v>
      </c>
      <c r="C2360" s="51">
        <v>85.45</v>
      </c>
      <c r="D2360" s="7">
        <v>76</v>
      </c>
      <c r="E2360" s="16"/>
      <c r="F2360" s="7">
        <f t="shared" si="189"/>
        <v>14626</v>
      </c>
      <c r="G2360" s="17"/>
      <c r="H2360" s="7">
        <v>99.95</v>
      </c>
      <c r="I2360" s="7">
        <v>121.8</v>
      </c>
      <c r="J2360" s="7">
        <v>91</v>
      </c>
      <c r="K2360" s="7"/>
      <c r="L2360" s="7">
        <v>70.599999999999994</v>
      </c>
      <c r="M2360" s="7">
        <v>68.7</v>
      </c>
      <c r="N2360" s="17"/>
      <c r="P2360" s="17"/>
      <c r="Q2360" s="7">
        <f t="shared" si="190"/>
        <v>0</v>
      </c>
      <c r="R2360" s="109"/>
      <c r="S2360" s="18"/>
      <c r="T2360" s="18"/>
      <c r="U2360" s="109">
        <f t="shared" si="191"/>
        <v>0</v>
      </c>
      <c r="V2360" s="17"/>
      <c r="W2360" s="90" t="s">
        <v>68</v>
      </c>
      <c r="X2360" s="91" t="s">
        <v>69</v>
      </c>
      <c r="Y2360" s="92" t="s">
        <v>70</v>
      </c>
      <c r="Z2360" s="90" t="s">
        <v>68</v>
      </c>
    </row>
    <row r="2361" spans="2:26" x14ac:dyDescent="0.3">
      <c r="B2361" s="5">
        <f>B2360+50</f>
        <v>14600</v>
      </c>
      <c r="C2361" s="7">
        <v>67.45</v>
      </c>
      <c r="D2361" s="7">
        <v>59.95</v>
      </c>
      <c r="E2361" s="16">
        <f>E2362-(F2362-E2362)</f>
        <v>62.974999999999994</v>
      </c>
      <c r="F2361" s="7">
        <f t="shared" si="189"/>
        <v>14659.95</v>
      </c>
      <c r="G2361" s="16"/>
      <c r="H2361" s="7">
        <v>80.05</v>
      </c>
      <c r="I2361" s="7">
        <v>99.1</v>
      </c>
      <c r="J2361" s="7">
        <v>72.45</v>
      </c>
      <c r="K2361" s="7"/>
      <c r="L2361" s="7">
        <v>54.65</v>
      </c>
      <c r="M2361" s="7">
        <v>52.5</v>
      </c>
      <c r="N2361" s="17"/>
      <c r="P2361" s="17"/>
      <c r="Q2361" s="7"/>
      <c r="R2361" s="109"/>
      <c r="S2361" s="109"/>
      <c r="T2361" s="114"/>
      <c r="U2361" s="109"/>
      <c r="V2361" s="17"/>
      <c r="W2361" s="66">
        <v>0.41597222222222219</v>
      </c>
      <c r="X2361" s="7">
        <v>85.45</v>
      </c>
      <c r="Y2361" s="7">
        <v>84.25</v>
      </c>
      <c r="Z2361" s="66">
        <v>0.41597222222222219</v>
      </c>
    </row>
    <row r="2362" spans="2:26" x14ac:dyDescent="0.3">
      <c r="B2362" s="17"/>
      <c r="C2362" s="17"/>
      <c r="D2362" s="16"/>
      <c r="E2362" s="16">
        <f>F2362-(G2362-F2362)</f>
        <v>81.924999999999997</v>
      </c>
      <c r="F2362" s="16">
        <f>AVERAGE(C2359,C2369)</f>
        <v>100.875</v>
      </c>
      <c r="G2362" s="16">
        <f>AVERAGE(C2358,C2368)</f>
        <v>119.825</v>
      </c>
      <c r="H2362" s="101"/>
      <c r="I2362" s="101"/>
      <c r="J2362" s="101"/>
      <c r="K2362" s="101"/>
      <c r="L2362" s="101"/>
      <c r="M2362" s="101"/>
      <c r="N2362" s="17"/>
      <c r="P2362" s="17"/>
      <c r="Q2362" s="17"/>
      <c r="R2362" s="17"/>
      <c r="S2362" s="17"/>
      <c r="T2362" s="17"/>
      <c r="U2362" s="16"/>
      <c r="V2362" s="16"/>
      <c r="W2362" s="66">
        <v>0.42777777777777781</v>
      </c>
      <c r="X2362" s="7">
        <v>99.95</v>
      </c>
      <c r="Y2362" s="7">
        <v>78.05</v>
      </c>
      <c r="Z2362" s="66">
        <v>0.42777777777777781</v>
      </c>
    </row>
    <row r="2363" spans="2:26" x14ac:dyDescent="0.3">
      <c r="B2363" s="17"/>
      <c r="C2363" s="95">
        <v>44315</v>
      </c>
      <c r="D2363" s="17"/>
      <c r="F2363" s="16"/>
      <c r="H2363" s="66">
        <v>0.42777777777777781</v>
      </c>
      <c r="I2363" s="66">
        <v>0.46875</v>
      </c>
      <c r="J2363" s="66">
        <v>0.51527777777777783</v>
      </c>
      <c r="K2363" s="66"/>
      <c r="L2363" s="66">
        <v>0.12847222222222224</v>
      </c>
      <c r="M2363" s="66">
        <v>0.13541666666666666</v>
      </c>
      <c r="N2363" s="17"/>
      <c r="P2363" s="17"/>
      <c r="Q2363" s="7">
        <f t="shared" ref="Q2363:Q2366" si="192">(U2363*T2363)-(R2363*S2363)</f>
        <v>0</v>
      </c>
      <c r="R2363" s="109"/>
      <c r="S2363" s="7"/>
      <c r="T2363" s="7"/>
      <c r="U2363" s="109">
        <f>R2363</f>
        <v>0</v>
      </c>
      <c r="V2363" s="17"/>
      <c r="W2363" s="66">
        <v>0.45763888888888887</v>
      </c>
      <c r="X2363" s="7">
        <v>99.9</v>
      </c>
      <c r="Y2363" s="7">
        <v>77.95</v>
      </c>
      <c r="Z2363" s="66">
        <v>0.45763888888888887</v>
      </c>
    </row>
    <row r="2364" spans="2:26" x14ac:dyDescent="0.3">
      <c r="B2364" s="90" t="s">
        <v>68</v>
      </c>
      <c r="C2364" s="66">
        <v>0.41666666666666669</v>
      </c>
      <c r="D2364" s="66">
        <v>0.39027777777777778</v>
      </c>
      <c r="E2364" s="16">
        <f>F2364-(G2364-F2364)</f>
        <v>81.924999999999997</v>
      </c>
      <c r="F2364" s="16">
        <f>AVERAGE(C2369,C2359)</f>
        <v>100.875</v>
      </c>
      <c r="G2364" s="16">
        <f>AVERAGE(C2368,C2358)</f>
        <v>119.825</v>
      </c>
      <c r="H2364" s="7">
        <v>14399.15</v>
      </c>
      <c r="I2364" s="7">
        <v>14459.4</v>
      </c>
      <c r="J2364" s="7">
        <v>14382.85</v>
      </c>
      <c r="K2364" s="7"/>
      <c r="L2364" s="7">
        <v>14341.9</v>
      </c>
      <c r="M2364" s="7">
        <v>14337.3</v>
      </c>
      <c r="N2364" s="17"/>
      <c r="P2364" s="17"/>
      <c r="Q2364" s="7">
        <f t="shared" si="192"/>
        <v>0</v>
      </c>
      <c r="R2364" s="109"/>
      <c r="S2364" s="7"/>
      <c r="T2364" s="7"/>
      <c r="U2364" s="109">
        <f>R2364</f>
        <v>0</v>
      </c>
      <c r="V2364" s="17"/>
      <c r="W2364" s="66">
        <v>0.47847222222222219</v>
      </c>
      <c r="X2364" s="7">
        <v>116.55</v>
      </c>
      <c r="Y2364" s="7">
        <v>69</v>
      </c>
      <c r="Z2364" s="66">
        <v>0.47847222222222219</v>
      </c>
    </row>
    <row r="2365" spans="2:26" x14ac:dyDescent="0.3">
      <c r="B2365" s="5">
        <f>B2366+50</f>
        <v>14350</v>
      </c>
      <c r="C2365" s="7">
        <v>165</v>
      </c>
      <c r="D2365" s="7">
        <v>160.44999999999999</v>
      </c>
      <c r="E2365" s="16">
        <f>E2364-(F2364-E2364)</f>
        <v>62.974999999999994</v>
      </c>
      <c r="F2365" s="7">
        <f t="shared" ref="F2365:F2370" si="193">B2365-D2365</f>
        <v>14189.55</v>
      </c>
      <c r="G2365" s="16"/>
      <c r="H2365" s="7">
        <v>152.19999999999999</v>
      </c>
      <c r="I2365" s="7">
        <v>129.30000000000001</v>
      </c>
      <c r="J2365" s="7">
        <v>159.5</v>
      </c>
      <c r="K2365" s="7"/>
      <c r="L2365" s="7">
        <v>167.65</v>
      </c>
      <c r="M2365" s="7">
        <v>172.8</v>
      </c>
      <c r="N2365" s="17"/>
      <c r="P2365" s="17"/>
      <c r="Q2365" s="7">
        <f t="shared" si="192"/>
        <v>0</v>
      </c>
      <c r="R2365" s="109"/>
      <c r="S2365" s="18"/>
      <c r="T2365" s="18"/>
      <c r="U2365" s="109"/>
      <c r="V2365" s="16"/>
      <c r="W2365" s="66">
        <v>0.4993055555555555</v>
      </c>
      <c r="X2365" s="7">
        <v>106</v>
      </c>
      <c r="Y2365" s="7">
        <v>74.55</v>
      </c>
      <c r="Z2365" s="66">
        <v>0.4993055555555555</v>
      </c>
    </row>
    <row r="2366" spans="2:26" x14ac:dyDescent="0.3">
      <c r="B2366" s="5">
        <f>B2367+50</f>
        <v>14300</v>
      </c>
      <c r="C2366" s="7">
        <v>145.19999999999999</v>
      </c>
      <c r="D2366" s="7">
        <v>142.1</v>
      </c>
      <c r="E2366" s="16"/>
      <c r="F2366" s="7">
        <f t="shared" si="193"/>
        <v>14157.9</v>
      </c>
      <c r="G2366" s="17"/>
      <c r="H2366" s="7">
        <v>134.30000000000001</v>
      </c>
      <c r="I2366" s="7">
        <v>113.45</v>
      </c>
      <c r="J2366" s="7">
        <v>140</v>
      </c>
      <c r="K2366" s="7"/>
      <c r="L2366" s="7">
        <v>147.4</v>
      </c>
      <c r="M2366" s="7">
        <v>151.94999999999999</v>
      </c>
      <c r="N2366" s="17"/>
      <c r="P2366" s="17"/>
      <c r="Q2366" s="7">
        <f t="shared" si="192"/>
        <v>0</v>
      </c>
      <c r="R2366" s="109"/>
      <c r="S2366" s="18"/>
      <c r="T2366" s="18"/>
      <c r="U2366" s="109"/>
      <c r="V2366" s="16"/>
      <c r="W2366" s="66">
        <v>0.52013888888888882</v>
      </c>
      <c r="X2366" s="7">
        <v>91.4</v>
      </c>
      <c r="Y2366" s="7">
        <v>79.95</v>
      </c>
      <c r="Z2366" s="66">
        <v>0.52013888888888882</v>
      </c>
    </row>
    <row r="2367" spans="2:26" x14ac:dyDescent="0.3">
      <c r="B2367" s="97">
        <v>14250</v>
      </c>
      <c r="C2367" s="7">
        <v>127.15</v>
      </c>
      <c r="D2367" s="7">
        <v>125</v>
      </c>
      <c r="E2367" s="16"/>
      <c r="F2367" s="7">
        <f t="shared" si="193"/>
        <v>14125</v>
      </c>
      <c r="G2367" s="17"/>
      <c r="H2367" s="7">
        <v>117.65</v>
      </c>
      <c r="I2367" s="7">
        <v>100.05</v>
      </c>
      <c r="J2367" s="7">
        <v>124</v>
      </c>
      <c r="K2367" s="7"/>
      <c r="L2367" s="7">
        <v>129.80000000000001</v>
      </c>
      <c r="M2367" s="7">
        <v>133.75</v>
      </c>
      <c r="N2367" s="17"/>
      <c r="P2367" s="17"/>
      <c r="Q2367" s="7">
        <f>SUM(Q2357:Q2366)</f>
        <v>705</v>
      </c>
      <c r="R2367" s="14">
        <f>SUM(R2357:R2366)</f>
        <v>150</v>
      </c>
      <c r="S2367" s="109">
        <f>R2367-U2367</f>
        <v>0</v>
      </c>
      <c r="T2367" s="114" t="e">
        <f>Q2367/S2367</f>
        <v>#DIV/0!</v>
      </c>
      <c r="U2367" s="14">
        <f>SUM(U2357:U2366)</f>
        <v>150</v>
      </c>
      <c r="V2367" s="17"/>
      <c r="W2367" s="66">
        <v>0.54097222222222219</v>
      </c>
      <c r="X2367" s="7">
        <v>91.35</v>
      </c>
      <c r="Y2367" s="7">
        <v>81.900000000000006</v>
      </c>
      <c r="Z2367" s="66">
        <v>0.54097222222222219</v>
      </c>
    </row>
    <row r="2368" spans="2:26" x14ac:dyDescent="0.3">
      <c r="B2368" s="14">
        <f>B2367-50</f>
        <v>14200</v>
      </c>
      <c r="C2368" s="7">
        <v>111.35</v>
      </c>
      <c r="D2368" s="23">
        <v>110.9</v>
      </c>
      <c r="E2368" s="16"/>
      <c r="F2368" s="98">
        <f t="shared" si="193"/>
        <v>14089.1</v>
      </c>
      <c r="G2368" s="17"/>
      <c r="H2368" s="7">
        <v>102.65</v>
      </c>
      <c r="I2368" s="7">
        <v>87.5</v>
      </c>
      <c r="J2368" s="7">
        <v>108.1</v>
      </c>
      <c r="K2368" s="7"/>
      <c r="L2368" s="7">
        <v>112.9</v>
      </c>
      <c r="M2368" s="7">
        <v>117</v>
      </c>
      <c r="N2368" s="17"/>
      <c r="P2368" s="17"/>
      <c r="Q2368" s="17"/>
      <c r="R2368" s="17"/>
      <c r="S2368" s="17"/>
      <c r="T2368" s="17"/>
      <c r="U2368" s="17"/>
      <c r="V2368" s="17"/>
      <c r="W2368" s="66">
        <v>6.1805555555555558E-2</v>
      </c>
      <c r="X2368" s="7">
        <v>105.1</v>
      </c>
      <c r="Y2368" s="7">
        <v>71.3</v>
      </c>
      <c r="Z2368" s="66">
        <v>6.1805555555555558E-2</v>
      </c>
    </row>
    <row r="2369" spans="2:26" x14ac:dyDescent="0.3">
      <c r="B2369" s="99">
        <f>B2368-50</f>
        <v>14150</v>
      </c>
      <c r="C2369" s="7">
        <v>96.8</v>
      </c>
      <c r="D2369" s="7">
        <v>97.35</v>
      </c>
      <c r="E2369" s="16"/>
      <c r="F2369" s="7">
        <f t="shared" si="193"/>
        <v>14052.65</v>
      </c>
      <c r="G2369" s="17"/>
      <c r="H2369" s="7">
        <v>89.2</v>
      </c>
      <c r="I2369" s="7">
        <v>76.95</v>
      </c>
      <c r="J2369" s="7">
        <v>95.15</v>
      </c>
      <c r="K2369" s="7"/>
      <c r="L2369" s="7">
        <v>98.55</v>
      </c>
      <c r="M2369" s="7">
        <v>102.55</v>
      </c>
      <c r="N2369" s="17"/>
      <c r="P2369" s="17"/>
      <c r="Q2369" s="17"/>
      <c r="R2369" s="17"/>
      <c r="S2369" s="17"/>
      <c r="T2369" s="17"/>
      <c r="U2369" s="17"/>
      <c r="V2369" s="17"/>
      <c r="W2369" s="66">
        <v>8.2638888888888887E-2</v>
      </c>
      <c r="X2369" s="7">
        <v>84.6</v>
      </c>
      <c r="Y2369" s="7">
        <v>81.5</v>
      </c>
      <c r="Z2369" s="66">
        <v>8.2638888888888887E-2</v>
      </c>
    </row>
    <row r="2370" spans="2:26" x14ac:dyDescent="0.3">
      <c r="B2370" s="5">
        <f>B2369-50</f>
        <v>14100</v>
      </c>
      <c r="C2370" s="51">
        <v>84.25</v>
      </c>
      <c r="D2370" s="7">
        <v>85.55</v>
      </c>
      <c r="E2370" s="16"/>
      <c r="F2370" s="7">
        <f t="shared" si="193"/>
        <v>14014.45</v>
      </c>
      <c r="H2370" s="7">
        <v>78.05</v>
      </c>
      <c r="I2370" s="7">
        <v>67</v>
      </c>
      <c r="J2370" s="7">
        <v>83.15</v>
      </c>
      <c r="K2370" s="7"/>
      <c r="L2370" s="7">
        <v>86.05</v>
      </c>
      <c r="M2370" s="7">
        <v>89.35</v>
      </c>
      <c r="N2370" s="17"/>
      <c r="P2370" s="98">
        <f>Q2367</f>
        <v>705</v>
      </c>
      <c r="Q2370" s="92" t="s">
        <v>72</v>
      </c>
      <c r="R2370" s="17"/>
      <c r="T2370" s="92" t="s">
        <v>73</v>
      </c>
      <c r="U2370" s="7">
        <f>((X2362+Y2362)-(X2370+Y2370))</f>
        <v>10.199999999999989</v>
      </c>
      <c r="V2370" s="98">
        <f>U2370*M2351*2</f>
        <v>1529.9999999999982</v>
      </c>
      <c r="W2370" s="66">
        <v>0.42777777777777781</v>
      </c>
      <c r="X2370" s="7">
        <v>99.95</v>
      </c>
      <c r="Y2370" s="7">
        <v>67.849999999999994</v>
      </c>
      <c r="Z2370" s="66">
        <v>0.46527777777777773</v>
      </c>
    </row>
    <row r="2371" spans="2:26" x14ac:dyDescent="0.3">
      <c r="H2371" s="101"/>
      <c r="I2371" s="101"/>
      <c r="J2371" s="101"/>
      <c r="K2371" s="101"/>
      <c r="L2371" s="101"/>
      <c r="M2371" s="101"/>
    </row>
    <row r="2372" spans="2:26" x14ac:dyDescent="0.3">
      <c r="B2372" s="5">
        <v>14050</v>
      </c>
      <c r="H2372" s="7">
        <v>67.849999999999994</v>
      </c>
      <c r="I2372" s="7">
        <v>58.25</v>
      </c>
    </row>
    <row r="2382" spans="2:26" x14ac:dyDescent="0.3">
      <c r="B2382" s="40"/>
      <c r="C2382" s="50">
        <f>AVERAGE(B2383,D2382)</f>
        <v>14588.25</v>
      </c>
      <c r="D2382" s="51">
        <f>B2383+E2383</f>
        <v>14638.25</v>
      </c>
      <c r="E2382" s="50">
        <f>AVERAGE(D2382,F2382)</f>
        <v>14688.25</v>
      </c>
      <c r="F2382" s="50">
        <f>D2382+E2383</f>
        <v>14738.25</v>
      </c>
      <c r="G2382" s="17"/>
      <c r="H2382" s="88" t="str">
        <f>IF((C2391-D2391)&gt;(C2400-D2400),"LONG",IF(C2400&gt;D2398,"LONG","SHORT"))</f>
        <v>LONG</v>
      </c>
      <c r="I2382" s="104">
        <v>14423</v>
      </c>
      <c r="J2382" s="105" t="s">
        <v>122</v>
      </c>
      <c r="K2382" s="106">
        <v>14545</v>
      </c>
      <c r="L2382" s="17"/>
      <c r="M2382" s="115">
        <f>900*(AVERAGE(AVERAGE(F2395,F2397),AVERAGE(E2398,E2394)))</f>
        <v>61807.500000000007</v>
      </c>
      <c r="N2382" s="17"/>
      <c r="Q2382" s="153" t="s">
        <v>71</v>
      </c>
      <c r="R2382" s="154"/>
      <c r="S2382" s="153" t="s">
        <v>37</v>
      </c>
      <c r="T2382" s="154"/>
      <c r="U2382" s="17"/>
      <c r="V2382" s="17"/>
      <c r="W2382" s="90" t="s">
        <v>68</v>
      </c>
      <c r="X2382" s="91" t="s">
        <v>69</v>
      </c>
      <c r="Y2382" s="92" t="s">
        <v>70</v>
      </c>
      <c r="Z2382" s="90" t="s">
        <v>68</v>
      </c>
    </row>
    <row r="2383" spans="2:26" x14ac:dyDescent="0.3">
      <c r="B2383" s="50">
        <v>14538.25</v>
      </c>
      <c r="C2383" s="40"/>
      <c r="D2383" s="58"/>
      <c r="E2383" s="59">
        <f>ROUND((((B2383*F2383%)/4)/10),0)*10</f>
        <v>100</v>
      </c>
      <c r="F2383" s="51">
        <f>(100/B2383)*(F2392-F2401)</f>
        <v>2.7259126786236383</v>
      </c>
      <c r="G2383" s="17"/>
      <c r="H2383" s="93">
        <v>0.39166666666666666</v>
      </c>
      <c r="I2383" s="93">
        <v>0.39861111111111108</v>
      </c>
      <c r="J2383" s="93">
        <v>0.4055555555555555</v>
      </c>
      <c r="K2383" s="93">
        <v>0.41250000000000003</v>
      </c>
      <c r="M2383">
        <v>36000</v>
      </c>
      <c r="N2383" s="17"/>
      <c r="Q2383" s="51">
        <f>R2383-(S2383-R2383)</f>
        <v>14046.35</v>
      </c>
      <c r="R2383" s="51">
        <v>14262</v>
      </c>
      <c r="S2383" s="51">
        <v>14477.65</v>
      </c>
      <c r="T2383" s="51">
        <f>S2383+(S2383-R2383)</f>
        <v>14693.3</v>
      </c>
      <c r="U2383" s="17"/>
      <c r="V2383" s="17"/>
      <c r="W2383" s="66">
        <v>0.41597222222222219</v>
      </c>
      <c r="X2383" s="7">
        <v>136.75</v>
      </c>
      <c r="Y2383" s="7">
        <v>129.85</v>
      </c>
      <c r="Z2383" s="66">
        <v>0.41597222222222219</v>
      </c>
    </row>
    <row r="2384" spans="2:26" x14ac:dyDescent="0.3">
      <c r="B2384" s="40"/>
      <c r="C2384" s="50">
        <f>AVERAGE(B2383,D2384)</f>
        <v>14488.25</v>
      </c>
      <c r="D2384" s="51">
        <f>B2383-E2383</f>
        <v>14438.25</v>
      </c>
      <c r="E2384" s="50">
        <f>AVERAGE(D2384,F2384)</f>
        <v>14388.25</v>
      </c>
      <c r="F2384" s="50">
        <f>D2384-E2383</f>
        <v>14338.25</v>
      </c>
      <c r="G2384" s="17"/>
      <c r="H2384" s="51">
        <v>14491</v>
      </c>
      <c r="I2384" s="51">
        <v>14523.45</v>
      </c>
      <c r="J2384" s="51">
        <v>14514.75</v>
      </c>
      <c r="K2384" s="51">
        <v>14532.55</v>
      </c>
      <c r="L2384" s="17"/>
      <c r="M2384">
        <f>ROUND((M2383/900)/75,0)*75</f>
        <v>75</v>
      </c>
      <c r="N2384" s="17"/>
      <c r="Q2384" s="17"/>
      <c r="R2384" s="17"/>
      <c r="S2384" s="17"/>
      <c r="T2384" s="16"/>
      <c r="U2384" s="17"/>
      <c r="V2384" s="17"/>
      <c r="W2384" s="66">
        <v>0.4368055555555555</v>
      </c>
      <c r="X2384" s="7">
        <v>130.30000000000001</v>
      </c>
      <c r="Y2384" s="7">
        <v>132.05000000000001</v>
      </c>
      <c r="Z2384" s="66">
        <v>0.4368055555555555</v>
      </c>
    </row>
    <row r="2385" spans="2:26" x14ac:dyDescent="0.3">
      <c r="B2385" s="17"/>
      <c r="C2385" s="17"/>
      <c r="D2385" s="17"/>
      <c r="E2385" s="17"/>
      <c r="F2385" s="16"/>
      <c r="G2385" s="16"/>
      <c r="H2385" s="17"/>
      <c r="I2385" s="17"/>
      <c r="J2385" s="17"/>
      <c r="K2385" s="16"/>
      <c r="L2385" s="17"/>
      <c r="M2385" s="17"/>
      <c r="N2385" s="17"/>
      <c r="Q2385" s="17"/>
      <c r="R2385" s="17"/>
      <c r="S2385" s="17"/>
      <c r="T2385" s="17"/>
      <c r="U2385" s="17"/>
      <c r="V2385" s="17"/>
      <c r="W2385" s="66">
        <v>0.45763888888888887</v>
      </c>
      <c r="X2385" s="7">
        <v>119.35</v>
      </c>
      <c r="Y2385" s="7">
        <v>137.80000000000001</v>
      </c>
      <c r="Z2385" s="66">
        <v>0.45763888888888887</v>
      </c>
    </row>
    <row r="2386" spans="2:26" x14ac:dyDescent="0.3">
      <c r="B2386" s="16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Q2386" s="17"/>
      <c r="R2386" s="17"/>
      <c r="S2386" s="17"/>
      <c r="T2386" s="17"/>
      <c r="U2386" s="17"/>
      <c r="V2386" s="17"/>
      <c r="W2386" s="66">
        <v>0.47847222222222219</v>
      </c>
      <c r="X2386" s="7">
        <v>119.4</v>
      </c>
      <c r="Y2386" s="7">
        <v>136.15</v>
      </c>
      <c r="Z2386" s="66">
        <v>0.47847222222222219</v>
      </c>
    </row>
    <row r="2387" spans="2:26" x14ac:dyDescent="0.3">
      <c r="B2387" s="17"/>
      <c r="C2387" s="95">
        <v>44312</v>
      </c>
      <c r="D2387" s="17"/>
      <c r="E2387" s="17"/>
      <c r="F2387" s="7">
        <f>AVERAGE(F2389,F2398)</f>
        <v>14506.025</v>
      </c>
      <c r="G2387" s="96"/>
      <c r="H2387" s="66">
        <v>0.51458333333333328</v>
      </c>
      <c r="I2387" s="66">
        <v>7.8472222222222221E-2</v>
      </c>
      <c r="J2387" s="66">
        <v>0.10069444444444443</v>
      </c>
      <c r="K2387" s="66"/>
      <c r="L2387" s="66"/>
      <c r="M2387" s="66">
        <v>0.13541666666666666</v>
      </c>
      <c r="N2387" s="17"/>
      <c r="Q2387" s="17"/>
      <c r="R2387" s="17"/>
      <c r="S2387" s="17"/>
      <c r="T2387" s="17"/>
      <c r="U2387" s="17"/>
      <c r="V2387" s="17"/>
      <c r="W2387" s="66">
        <v>0.4993055555555555</v>
      </c>
      <c r="X2387" s="7">
        <v>119.5</v>
      </c>
      <c r="Y2387" s="7">
        <v>136.6</v>
      </c>
      <c r="Z2387" s="66">
        <v>0.4993055555555555</v>
      </c>
    </row>
    <row r="2388" spans="2:26" x14ac:dyDescent="0.3">
      <c r="B2388" s="90" t="s">
        <v>68</v>
      </c>
      <c r="C2388" s="66">
        <v>0.41666666666666669</v>
      </c>
      <c r="D2388" s="66">
        <v>0.38611111111111113</v>
      </c>
      <c r="E2388" s="17"/>
      <c r="F2388" s="17"/>
      <c r="G2388" s="17"/>
      <c r="H2388" s="7">
        <v>14496.9</v>
      </c>
      <c r="I2388" s="7">
        <v>14508.3</v>
      </c>
      <c r="J2388" s="7">
        <v>14447.1</v>
      </c>
      <c r="K2388" s="7"/>
      <c r="L2388" s="7"/>
      <c r="M2388" s="7">
        <v>14481.1</v>
      </c>
      <c r="N2388" s="17"/>
      <c r="Q2388" s="155" t="s">
        <v>72</v>
      </c>
      <c r="R2388" s="155"/>
      <c r="S2388" s="155"/>
      <c r="T2388" s="155"/>
      <c r="U2388" s="155"/>
      <c r="V2388" s="17"/>
      <c r="W2388" s="66">
        <v>0.52013888888888882</v>
      </c>
      <c r="X2388" s="7">
        <v>108.65</v>
      </c>
      <c r="Y2388" s="7">
        <v>144.55000000000001</v>
      </c>
      <c r="Z2388" s="66">
        <v>0.52013888888888882</v>
      </c>
    </row>
    <row r="2389" spans="2:26" x14ac:dyDescent="0.3">
      <c r="B2389" s="5">
        <f>B2390-50</f>
        <v>14500</v>
      </c>
      <c r="C2389" s="7">
        <v>166.25</v>
      </c>
      <c r="D2389" s="7">
        <v>111.65</v>
      </c>
      <c r="E2389" s="16"/>
      <c r="F2389" s="7">
        <f t="shared" ref="F2389:F2394" si="194">B2389+D2389</f>
        <v>14611.65</v>
      </c>
      <c r="G2389" s="17"/>
      <c r="H2389" s="7">
        <v>138.80000000000001</v>
      </c>
      <c r="I2389" s="7">
        <v>135.30000000000001</v>
      </c>
      <c r="J2389" s="7">
        <v>105.75</v>
      </c>
      <c r="K2389" s="7"/>
      <c r="L2389" s="7"/>
      <c r="M2389" s="7">
        <v>124.15</v>
      </c>
      <c r="N2389" s="17"/>
      <c r="Q2389" s="34"/>
      <c r="R2389" s="34" t="s">
        <v>111</v>
      </c>
      <c r="S2389" s="34" t="s">
        <v>2</v>
      </c>
      <c r="T2389" s="34" t="s">
        <v>1</v>
      </c>
      <c r="U2389" s="34" t="s">
        <v>111</v>
      </c>
      <c r="V2389" s="17"/>
      <c r="W2389" s="66">
        <v>0.54097222222222219</v>
      </c>
      <c r="X2389" s="7">
        <v>114.85</v>
      </c>
      <c r="Y2389" s="7">
        <v>134.5</v>
      </c>
      <c r="Z2389" s="66">
        <v>0.54097222222222219</v>
      </c>
    </row>
    <row r="2390" spans="2:26" x14ac:dyDescent="0.3">
      <c r="B2390" s="5">
        <f>B2391-50</f>
        <v>14550</v>
      </c>
      <c r="C2390" s="7">
        <v>136.75</v>
      </c>
      <c r="D2390" s="7">
        <v>88.6</v>
      </c>
      <c r="E2390" s="16"/>
      <c r="F2390" s="7">
        <f t="shared" si="194"/>
        <v>14638.6</v>
      </c>
      <c r="G2390" s="17"/>
      <c r="H2390" s="7">
        <v>111.95</v>
      </c>
      <c r="I2390" s="7">
        <v>107.95</v>
      </c>
      <c r="J2390" s="7">
        <v>83.1</v>
      </c>
      <c r="K2390" s="7"/>
      <c r="L2390" s="7"/>
      <c r="M2390" s="7">
        <v>97.55</v>
      </c>
      <c r="P2390" s="17"/>
      <c r="Q2390" s="7">
        <f>(U2390*T2390)-(R2390*S2390)</f>
        <v>-232.5</v>
      </c>
      <c r="R2390" s="109">
        <v>75</v>
      </c>
      <c r="S2390" s="7">
        <v>89.2</v>
      </c>
      <c r="T2390" s="18">
        <v>86.1</v>
      </c>
      <c r="U2390" s="109">
        <f>R2390</f>
        <v>75</v>
      </c>
      <c r="V2390" s="17"/>
      <c r="W2390" s="66">
        <v>6.1805555555555558E-2</v>
      </c>
      <c r="X2390" s="7">
        <v>107.25</v>
      </c>
      <c r="Y2390" s="7">
        <v>139.85</v>
      </c>
      <c r="Z2390" s="66">
        <v>6.1805555555555558E-2</v>
      </c>
    </row>
    <row r="2391" spans="2:26" x14ac:dyDescent="0.3">
      <c r="B2391" s="97">
        <v>14600</v>
      </c>
      <c r="C2391" s="7">
        <v>110.3</v>
      </c>
      <c r="D2391" s="7">
        <v>68.650000000000006</v>
      </c>
      <c r="E2391" s="16"/>
      <c r="F2391" s="7">
        <f t="shared" si="194"/>
        <v>14668.65</v>
      </c>
      <c r="G2391" s="17"/>
      <c r="H2391" s="7">
        <v>88.25</v>
      </c>
      <c r="I2391" s="7">
        <v>84.35</v>
      </c>
      <c r="J2391" s="7">
        <v>62.8</v>
      </c>
      <c r="K2391" s="7"/>
      <c r="L2391" s="7"/>
      <c r="M2391" s="7">
        <v>75.05</v>
      </c>
      <c r="P2391" s="17"/>
      <c r="Q2391" s="7">
        <f t="shared" ref="Q2391:Q2393" si="195">(U2391*T2391)-(R2391*S2391)</f>
        <v>-232.5</v>
      </c>
      <c r="R2391" s="109">
        <v>75</v>
      </c>
      <c r="S2391" s="7">
        <v>89.2</v>
      </c>
      <c r="T2391" s="18">
        <v>86.1</v>
      </c>
      <c r="U2391" s="109">
        <f t="shared" ref="U2391:U2393" si="196">R2391</f>
        <v>75</v>
      </c>
      <c r="V2391" s="17"/>
      <c r="W2391" s="66">
        <v>8.2638888888888887E-2</v>
      </c>
      <c r="X2391" s="7">
        <v>107.45</v>
      </c>
      <c r="Y2391" s="7">
        <v>133.5</v>
      </c>
      <c r="Z2391" s="66">
        <v>8.2638888888888887E-2</v>
      </c>
    </row>
    <row r="2392" spans="2:26" x14ac:dyDescent="0.3">
      <c r="B2392" s="5">
        <f>B2391+50</f>
        <v>14650</v>
      </c>
      <c r="C2392" s="7">
        <v>86.65</v>
      </c>
      <c r="D2392" s="23">
        <v>51.85</v>
      </c>
      <c r="E2392" s="16"/>
      <c r="F2392" s="98">
        <f t="shared" si="194"/>
        <v>14701.85</v>
      </c>
      <c r="G2392" s="17"/>
      <c r="H2392" s="7">
        <v>67.55</v>
      </c>
      <c r="I2392" s="7">
        <v>63.4</v>
      </c>
      <c r="J2392" s="7">
        <v>46.35</v>
      </c>
      <c r="K2392" s="7"/>
      <c r="L2392" s="7"/>
      <c r="M2392" s="7">
        <v>55.9</v>
      </c>
      <c r="N2392" s="17"/>
      <c r="P2392" s="17"/>
      <c r="Q2392" s="7">
        <f t="shared" si="195"/>
        <v>0</v>
      </c>
      <c r="R2392" s="109"/>
      <c r="S2392" s="18"/>
      <c r="T2392" s="18"/>
      <c r="U2392" s="109">
        <f t="shared" si="196"/>
        <v>0</v>
      </c>
      <c r="V2392" s="17"/>
      <c r="W2392" s="17"/>
      <c r="X2392" s="17"/>
      <c r="Y2392" s="17"/>
      <c r="Z2392" s="17"/>
    </row>
    <row r="2393" spans="2:26" x14ac:dyDescent="0.3">
      <c r="B2393" s="99">
        <f>B2392+50</f>
        <v>14700</v>
      </c>
      <c r="C2393" s="51">
        <v>66.05</v>
      </c>
      <c r="D2393" s="7">
        <v>38.5</v>
      </c>
      <c r="E2393" s="16"/>
      <c r="F2393" s="7">
        <f t="shared" si="194"/>
        <v>14738.5</v>
      </c>
      <c r="G2393" s="17"/>
      <c r="H2393" s="7">
        <v>50.25</v>
      </c>
      <c r="I2393" s="7">
        <v>46.55</v>
      </c>
      <c r="J2393" s="7">
        <v>33.200000000000003</v>
      </c>
      <c r="K2393" s="7"/>
      <c r="L2393" s="7"/>
      <c r="M2393" s="7">
        <v>40.25</v>
      </c>
      <c r="N2393" s="17"/>
      <c r="P2393" s="17"/>
      <c r="Q2393" s="7">
        <f t="shared" si="195"/>
        <v>0</v>
      </c>
      <c r="R2393" s="109"/>
      <c r="S2393" s="18"/>
      <c r="T2393" s="18"/>
      <c r="U2393" s="109">
        <f t="shared" si="196"/>
        <v>0</v>
      </c>
      <c r="V2393" s="17"/>
      <c r="W2393" s="90" t="s">
        <v>68</v>
      </c>
      <c r="X2393" s="91" t="s">
        <v>69</v>
      </c>
      <c r="Y2393" s="92" t="s">
        <v>70</v>
      </c>
      <c r="Z2393" s="90" t="s">
        <v>68</v>
      </c>
    </row>
    <row r="2394" spans="2:26" x14ac:dyDescent="0.3">
      <c r="B2394" s="5">
        <f>B2393+50</f>
        <v>14750</v>
      </c>
      <c r="C2394" s="7">
        <v>49.25</v>
      </c>
      <c r="D2394" s="7">
        <v>27.9</v>
      </c>
      <c r="E2394" s="16">
        <f>E2395-(F2395-E2395)</f>
        <v>47.375000000000028</v>
      </c>
      <c r="F2394" s="7">
        <f t="shared" si="194"/>
        <v>14777.9</v>
      </c>
      <c r="G2394" s="16"/>
      <c r="H2394" s="7">
        <v>36.450000000000003</v>
      </c>
      <c r="I2394" s="7">
        <v>32.9</v>
      </c>
      <c r="J2394" s="7">
        <v>22.95</v>
      </c>
      <c r="K2394" s="7"/>
      <c r="L2394" s="7"/>
      <c r="M2394" s="7">
        <v>27.9</v>
      </c>
      <c r="N2394" s="17"/>
      <c r="P2394" s="17"/>
      <c r="Q2394" s="7"/>
      <c r="R2394" s="109"/>
      <c r="S2394" s="109"/>
      <c r="T2394" s="114"/>
      <c r="U2394" s="109"/>
      <c r="V2394" s="17"/>
      <c r="W2394" s="66">
        <v>0.41597222222222219</v>
      </c>
      <c r="X2394" s="7">
        <v>66.05</v>
      </c>
      <c r="Y2394" s="7">
        <v>82.4</v>
      </c>
      <c r="Z2394" s="66">
        <v>0.41597222222222219</v>
      </c>
    </row>
    <row r="2395" spans="2:26" x14ac:dyDescent="0.3">
      <c r="B2395" s="17"/>
      <c r="C2395" s="17"/>
      <c r="D2395" s="16"/>
      <c r="E2395" s="16">
        <f>F2395-(G2395-F2395)</f>
        <v>65.950000000000017</v>
      </c>
      <c r="F2395" s="16">
        <f>AVERAGE(C2392,C2402)</f>
        <v>84.525000000000006</v>
      </c>
      <c r="G2395" s="16">
        <f>AVERAGE(C2391,C2401)</f>
        <v>103.1</v>
      </c>
      <c r="H2395" s="101"/>
      <c r="I2395" s="101"/>
      <c r="J2395" s="101"/>
      <c r="K2395" s="101"/>
      <c r="L2395" s="101"/>
      <c r="M2395" s="101"/>
      <c r="N2395" s="17"/>
      <c r="P2395" s="17"/>
      <c r="Q2395" s="17"/>
      <c r="R2395" s="17"/>
      <c r="S2395" s="17"/>
      <c r="T2395" s="17"/>
      <c r="U2395" s="16"/>
      <c r="V2395" s="16"/>
      <c r="W2395" s="66">
        <v>0.4368055555555555</v>
      </c>
      <c r="X2395" s="7">
        <v>62.35</v>
      </c>
      <c r="Y2395" s="7">
        <v>83.05</v>
      </c>
      <c r="Z2395" s="66">
        <v>0.4368055555555555</v>
      </c>
    </row>
    <row r="2396" spans="2:26" x14ac:dyDescent="0.3">
      <c r="B2396" s="17"/>
      <c r="C2396" s="95">
        <v>44315</v>
      </c>
      <c r="D2396" s="17"/>
      <c r="F2396" s="16"/>
      <c r="H2396" s="66">
        <v>0.51458333333333328</v>
      </c>
      <c r="I2396" s="66">
        <v>7.8472222222222221E-2</v>
      </c>
      <c r="J2396" s="117" t="s">
        <v>123</v>
      </c>
      <c r="K2396" s="66"/>
      <c r="L2396" s="66"/>
      <c r="M2396" s="66">
        <v>0.13541666666666666</v>
      </c>
      <c r="N2396" s="17"/>
      <c r="P2396" s="17"/>
      <c r="Q2396" s="7">
        <f t="shared" ref="Q2396:Q2399" si="197">(U2396*T2396)-(R2396*S2396)</f>
        <v>0</v>
      </c>
      <c r="R2396" s="109"/>
      <c r="S2396" s="7"/>
      <c r="T2396" s="7"/>
      <c r="U2396" s="109">
        <f>R2396</f>
        <v>0</v>
      </c>
      <c r="V2396" s="17"/>
      <c r="W2396" s="66">
        <v>0.45763888888888887</v>
      </c>
      <c r="X2396" s="7">
        <v>54.9</v>
      </c>
      <c r="Y2396" s="7">
        <v>86.35</v>
      </c>
      <c r="Z2396" s="66">
        <v>0.45763888888888887</v>
      </c>
    </row>
    <row r="2397" spans="2:26" x14ac:dyDescent="0.3">
      <c r="B2397" s="90" t="s">
        <v>68</v>
      </c>
      <c r="C2397" s="66">
        <v>0.41666666666666669</v>
      </c>
      <c r="D2397" s="66">
        <v>0.4152777777777778</v>
      </c>
      <c r="E2397" s="16">
        <f>F2397-(G2397-F2397)</f>
        <v>71.400000000000006</v>
      </c>
      <c r="F2397" s="16">
        <f>AVERAGE(C2401,C2392)</f>
        <v>91.275000000000006</v>
      </c>
      <c r="G2397" s="16">
        <f>AVERAGE(C2400,C2391)</f>
        <v>111.15</v>
      </c>
      <c r="H2397" s="23">
        <v>91.2</v>
      </c>
      <c r="I2397" s="23">
        <v>75.75</v>
      </c>
      <c r="J2397" s="23">
        <v>90.8</v>
      </c>
      <c r="K2397" s="7"/>
      <c r="L2397" s="7"/>
      <c r="M2397" s="7">
        <v>14481.1</v>
      </c>
      <c r="N2397" s="17"/>
      <c r="P2397" s="17"/>
      <c r="Q2397" s="7">
        <f t="shared" si="197"/>
        <v>0</v>
      </c>
      <c r="R2397" s="109"/>
      <c r="S2397" s="7"/>
      <c r="T2397" s="7"/>
      <c r="U2397" s="109">
        <f>R2397</f>
        <v>0</v>
      </c>
      <c r="V2397" s="17"/>
      <c r="W2397" s="66">
        <v>0.47847222222222219</v>
      </c>
      <c r="X2397" s="7">
        <v>54.95</v>
      </c>
      <c r="Y2397" s="7">
        <v>85</v>
      </c>
      <c r="Z2397" s="66">
        <v>0.47847222222222219</v>
      </c>
    </row>
    <row r="2398" spans="2:26" x14ac:dyDescent="0.3">
      <c r="B2398" s="5">
        <f>B2399+50</f>
        <v>14550</v>
      </c>
      <c r="C2398" s="7">
        <v>150.9</v>
      </c>
      <c r="D2398" s="7">
        <v>149.6</v>
      </c>
      <c r="E2398" s="16">
        <f>E2397-(F2397-E2397)</f>
        <v>51.525000000000006</v>
      </c>
      <c r="F2398" s="7">
        <f t="shared" ref="F2398:F2403" si="198">B2398-D2398</f>
        <v>14400.4</v>
      </c>
      <c r="G2398" s="16"/>
      <c r="H2398" s="7">
        <v>165.95</v>
      </c>
      <c r="I2398" s="7">
        <v>150.69999999999999</v>
      </c>
      <c r="J2398" s="7">
        <v>184.8</v>
      </c>
      <c r="K2398" s="7"/>
      <c r="L2398" s="7"/>
      <c r="M2398" s="7">
        <v>166.3</v>
      </c>
      <c r="N2398" s="17"/>
      <c r="P2398" s="17"/>
      <c r="Q2398" s="7">
        <f t="shared" si="197"/>
        <v>0</v>
      </c>
      <c r="R2398" s="109"/>
      <c r="S2398" s="18"/>
      <c r="T2398" s="18"/>
      <c r="U2398" s="109"/>
      <c r="V2398" s="16"/>
      <c r="W2398" s="66">
        <v>0.4993055555555555</v>
      </c>
      <c r="X2398" s="7">
        <v>55.3</v>
      </c>
      <c r="Y2398" s="7">
        <v>85</v>
      </c>
      <c r="Z2398" s="66">
        <v>0.4993055555555555</v>
      </c>
    </row>
    <row r="2399" spans="2:26" x14ac:dyDescent="0.3">
      <c r="B2399" s="5">
        <f>B2400+50</f>
        <v>14500</v>
      </c>
      <c r="C2399" s="7">
        <v>129.85</v>
      </c>
      <c r="D2399" s="7">
        <v>128.65</v>
      </c>
      <c r="E2399" s="16"/>
      <c r="F2399" s="7">
        <f t="shared" si="198"/>
        <v>14371.35</v>
      </c>
      <c r="G2399" s="17"/>
      <c r="H2399" s="7">
        <v>143</v>
      </c>
      <c r="I2399" s="7">
        <v>127.3</v>
      </c>
      <c r="J2399" s="7">
        <v>159.15</v>
      </c>
      <c r="K2399" s="7"/>
      <c r="L2399" s="7"/>
      <c r="M2399" s="7">
        <v>142.30000000000001</v>
      </c>
      <c r="N2399" s="17"/>
      <c r="P2399" s="17"/>
      <c r="Q2399" s="7">
        <f t="shared" si="197"/>
        <v>0</v>
      </c>
      <c r="R2399" s="109"/>
      <c r="S2399" s="18"/>
      <c r="T2399" s="18"/>
      <c r="U2399" s="109"/>
      <c r="V2399" s="16"/>
      <c r="W2399" s="66">
        <v>0.52013888888888882</v>
      </c>
      <c r="X2399" s="7">
        <v>48.7</v>
      </c>
      <c r="Y2399" s="7">
        <v>90.5</v>
      </c>
      <c r="Z2399" s="66">
        <v>0.52013888888888882</v>
      </c>
    </row>
    <row r="2400" spans="2:26" x14ac:dyDescent="0.3">
      <c r="B2400" s="97">
        <v>14450</v>
      </c>
      <c r="C2400" s="7">
        <v>112</v>
      </c>
      <c r="D2400" s="7">
        <v>110.25</v>
      </c>
      <c r="E2400" s="16"/>
      <c r="F2400" s="7">
        <f t="shared" si="198"/>
        <v>14339.75</v>
      </c>
      <c r="G2400" s="17"/>
      <c r="H2400" s="7">
        <v>122.45</v>
      </c>
      <c r="I2400" s="7">
        <v>108.1</v>
      </c>
      <c r="J2400" s="7">
        <v>135.15</v>
      </c>
      <c r="K2400" s="7"/>
      <c r="L2400" s="7"/>
      <c r="M2400" s="7">
        <v>120.75</v>
      </c>
      <c r="N2400" s="17"/>
      <c r="P2400" s="17"/>
      <c r="Q2400" s="7">
        <f>SUM(Q2390:Q2399)</f>
        <v>-465</v>
      </c>
      <c r="R2400" s="14">
        <f>SUM(R2390:R2399)</f>
        <v>150</v>
      </c>
      <c r="S2400" s="109">
        <f>R2400-U2400</f>
        <v>0</v>
      </c>
      <c r="T2400" s="114" t="e">
        <f>Q2400/S2400</f>
        <v>#DIV/0!</v>
      </c>
      <c r="U2400" s="14">
        <f>SUM(U2390:U2399)</f>
        <v>150</v>
      </c>
      <c r="V2400" s="17"/>
      <c r="W2400" s="66">
        <v>0.54097222222222219</v>
      </c>
      <c r="X2400" s="7">
        <v>51.7</v>
      </c>
      <c r="Y2400" s="7">
        <v>83.15</v>
      </c>
      <c r="Z2400" s="66">
        <v>0.54097222222222219</v>
      </c>
    </row>
    <row r="2401" spans="2:26" x14ac:dyDescent="0.3">
      <c r="B2401" s="14">
        <f>B2400-50</f>
        <v>14400</v>
      </c>
      <c r="C2401" s="7">
        <v>95.9</v>
      </c>
      <c r="D2401" s="23">
        <v>94.45</v>
      </c>
      <c r="E2401" s="16"/>
      <c r="F2401" s="98">
        <f t="shared" si="198"/>
        <v>14305.55</v>
      </c>
      <c r="G2401" s="17"/>
      <c r="H2401" s="7">
        <v>104.5</v>
      </c>
      <c r="I2401" s="7">
        <v>90.9</v>
      </c>
      <c r="J2401" s="7">
        <v>115.2</v>
      </c>
      <c r="K2401" s="7"/>
      <c r="L2401" s="7"/>
      <c r="M2401" s="7">
        <v>101.9</v>
      </c>
      <c r="N2401" s="17"/>
      <c r="P2401" s="17"/>
      <c r="Q2401" s="17"/>
      <c r="R2401" s="17"/>
      <c r="S2401" s="17"/>
      <c r="T2401" s="17"/>
      <c r="U2401" s="17"/>
      <c r="V2401" s="17"/>
      <c r="W2401" s="66">
        <v>6.1805555555555558E-2</v>
      </c>
      <c r="X2401" s="7">
        <v>47.1</v>
      </c>
      <c r="Y2401" s="7">
        <v>85.5</v>
      </c>
      <c r="Z2401" s="66">
        <v>6.1805555555555558E-2</v>
      </c>
    </row>
    <row r="2402" spans="2:26" x14ac:dyDescent="0.3">
      <c r="B2402" s="99">
        <f>B2401-50</f>
        <v>14350</v>
      </c>
      <c r="C2402" s="51">
        <v>82.4</v>
      </c>
      <c r="D2402" s="7">
        <v>81</v>
      </c>
      <c r="E2402" s="16"/>
      <c r="F2402" s="7">
        <f t="shared" si="198"/>
        <v>14269</v>
      </c>
      <c r="G2402" s="17"/>
      <c r="H2402" s="7">
        <v>89.2</v>
      </c>
      <c r="I2402" s="7">
        <v>76.7</v>
      </c>
      <c r="J2402" s="7">
        <v>96.6</v>
      </c>
      <c r="K2402" s="7"/>
      <c r="L2402" s="7"/>
      <c r="M2402" s="7">
        <v>86.1</v>
      </c>
      <c r="N2402" s="17"/>
      <c r="P2402" s="17"/>
      <c r="Q2402" s="17"/>
      <c r="R2402" s="17"/>
      <c r="S2402" s="17"/>
      <c r="T2402" s="17"/>
      <c r="U2402" s="17"/>
      <c r="V2402" s="17"/>
      <c r="W2402" s="66">
        <v>8.2638888888888887E-2</v>
      </c>
      <c r="X2402" s="7">
        <v>46.35</v>
      </c>
      <c r="Y2402" s="7">
        <v>81.3</v>
      </c>
      <c r="Z2402" s="66">
        <v>8.2638888888888887E-2</v>
      </c>
    </row>
    <row r="2403" spans="2:26" x14ac:dyDescent="0.3">
      <c r="B2403" s="5">
        <f>B2402-50</f>
        <v>14300</v>
      </c>
      <c r="C2403" s="7">
        <v>69.95</v>
      </c>
      <c r="D2403" s="7">
        <v>68.7</v>
      </c>
      <c r="E2403" s="16"/>
      <c r="F2403" s="7">
        <f t="shared" si="198"/>
        <v>14231.3</v>
      </c>
      <c r="G2403" s="16">
        <f>AVERAGE(H2402,H2394)</f>
        <v>62.825000000000003</v>
      </c>
      <c r="H2403" s="7">
        <v>75.75</v>
      </c>
      <c r="I2403" s="7">
        <v>64.05</v>
      </c>
      <c r="J2403" s="7">
        <v>81.7</v>
      </c>
      <c r="K2403" s="7"/>
      <c r="L2403" s="7"/>
      <c r="M2403" s="7">
        <v>72.400000000000006</v>
      </c>
      <c r="N2403" s="17"/>
      <c r="P2403" s="98">
        <f>Q2400</f>
        <v>-465</v>
      </c>
      <c r="Q2403" s="92" t="s">
        <v>72</v>
      </c>
      <c r="R2403" s="17"/>
      <c r="T2403" s="92" t="s">
        <v>73</v>
      </c>
      <c r="U2403" s="7">
        <f>((X2395+Y2395)-(X2403+Y2403))</f>
        <v>19.75</v>
      </c>
      <c r="V2403" s="98">
        <f>U2403*M2384*2</f>
        <v>2962.5</v>
      </c>
      <c r="W2403" s="66">
        <v>0.10069444444444443</v>
      </c>
      <c r="X2403" s="7">
        <v>36.450000000000003</v>
      </c>
      <c r="Y2403" s="7">
        <v>89.2</v>
      </c>
      <c r="Z2403" s="66">
        <v>0.13541666666666666</v>
      </c>
    </row>
    <row r="2415" spans="2:26" x14ac:dyDescent="0.3">
      <c r="B2415" s="40"/>
      <c r="C2415" s="50">
        <f>AVERAGE(B2416,D2415)</f>
        <v>14609.25</v>
      </c>
      <c r="D2415" s="51">
        <f>B2416+E2416</f>
        <v>14649.25</v>
      </c>
      <c r="E2415" s="50">
        <f>AVERAGE(D2415,F2415)</f>
        <v>14689.25</v>
      </c>
      <c r="F2415" s="50">
        <f>D2415+E2416</f>
        <v>14729.25</v>
      </c>
      <c r="G2415" s="17"/>
      <c r="H2415" s="88" t="str">
        <f>IF((C2424-D2424)&gt;(C2433-D2433),"LONG",IF(C2433&gt;D2431,"LONG","SHORT"))</f>
        <v>LONG</v>
      </c>
      <c r="I2415" s="104">
        <v>14476</v>
      </c>
      <c r="J2415" s="105" t="s">
        <v>122</v>
      </c>
      <c r="K2415" s="106">
        <v>14578</v>
      </c>
      <c r="L2415" s="17"/>
      <c r="M2415" s="115">
        <f>900*(AVERAGE(AVERAGE(F2428,F2430),AVERAGE(E2431,E2427)))</f>
        <v>45675</v>
      </c>
      <c r="N2415" s="17"/>
      <c r="Q2415" s="153" t="s">
        <v>71</v>
      </c>
      <c r="R2415" s="154"/>
      <c r="S2415" s="153" t="s">
        <v>37</v>
      </c>
      <c r="T2415" s="154"/>
      <c r="U2415" s="17"/>
      <c r="V2415" s="17"/>
      <c r="W2415" s="90" t="s">
        <v>68</v>
      </c>
      <c r="X2415" s="91" t="s">
        <v>69</v>
      </c>
      <c r="Y2415" s="92" t="s">
        <v>70</v>
      </c>
      <c r="Z2415" s="90" t="s">
        <v>68</v>
      </c>
    </row>
    <row r="2416" spans="2:26" x14ac:dyDescent="0.3">
      <c r="B2416" s="50">
        <v>14569.25</v>
      </c>
      <c r="C2416" s="40"/>
      <c r="D2416" s="58"/>
      <c r="E2416" s="59">
        <f>ROUND((((B2416*F2416%)/4)/10),0)*10</f>
        <v>80</v>
      </c>
      <c r="F2416" s="51">
        <f>(100/B2416)*(F2425-F2434)</f>
        <v>2.1967500042898522</v>
      </c>
      <c r="G2416" s="17"/>
      <c r="H2416" s="93">
        <v>0.39166666666666666</v>
      </c>
      <c r="I2416" s="93">
        <v>0.39861111111111108</v>
      </c>
      <c r="J2416" s="93">
        <v>0.4055555555555555</v>
      </c>
      <c r="K2416" s="93">
        <v>0.41250000000000003</v>
      </c>
      <c r="M2416">
        <v>36000</v>
      </c>
      <c r="N2416" s="17"/>
      <c r="Q2416" s="51">
        <f>R2416-(S2416-R2416)</f>
        <v>13985.75</v>
      </c>
      <c r="R2416" s="51">
        <v>14262</v>
      </c>
      <c r="S2416" s="51">
        <v>14538.25</v>
      </c>
      <c r="T2416" s="51">
        <f>S2416+(S2416-R2416)</f>
        <v>14814.5</v>
      </c>
      <c r="U2416" s="17"/>
      <c r="V2416" s="17"/>
      <c r="W2416" s="66">
        <v>0.41597222222222219</v>
      </c>
      <c r="X2416" s="7">
        <v>122.95</v>
      </c>
      <c r="Y2416" s="7">
        <v>104.95</v>
      </c>
      <c r="Z2416" s="66">
        <v>0.41597222222222219</v>
      </c>
    </row>
    <row r="2417" spans="2:26" x14ac:dyDescent="0.3">
      <c r="B2417" s="40"/>
      <c r="C2417" s="50">
        <f>AVERAGE(B2416,D2417)</f>
        <v>14529.25</v>
      </c>
      <c r="D2417" s="51">
        <f>B2416-E2416</f>
        <v>14489.25</v>
      </c>
      <c r="E2417" s="50">
        <f>AVERAGE(D2417,F2417)</f>
        <v>14449.25</v>
      </c>
      <c r="F2417" s="50">
        <f>D2417-E2416</f>
        <v>14409.25</v>
      </c>
      <c r="G2417" s="17"/>
      <c r="H2417" s="51">
        <v>14531</v>
      </c>
      <c r="I2417" s="51">
        <v>14517.4</v>
      </c>
      <c r="J2417" s="51">
        <v>14547</v>
      </c>
      <c r="K2417" s="51">
        <v>14560</v>
      </c>
      <c r="L2417" s="17"/>
      <c r="M2417">
        <f>ROUND((M2416/375)/75,0)*75</f>
        <v>75</v>
      </c>
      <c r="N2417" s="17"/>
      <c r="Q2417" s="17"/>
      <c r="R2417" s="17"/>
      <c r="S2417" s="17"/>
      <c r="T2417" s="16"/>
      <c r="U2417" s="17"/>
      <c r="V2417" s="17"/>
      <c r="W2417" s="66">
        <v>0.4368055555555555</v>
      </c>
      <c r="X2417" s="7">
        <v>115.65</v>
      </c>
      <c r="Y2417" s="7">
        <v>105.1</v>
      </c>
      <c r="Z2417" s="66">
        <v>0.4368055555555555</v>
      </c>
    </row>
    <row r="2418" spans="2:26" x14ac:dyDescent="0.3">
      <c r="B2418" s="17"/>
      <c r="C2418" s="17"/>
      <c r="D2418" s="17"/>
      <c r="E2418" s="17"/>
      <c r="F2418" s="16"/>
      <c r="G2418" s="16"/>
      <c r="H2418" s="17"/>
      <c r="I2418" s="17"/>
      <c r="J2418" s="17"/>
      <c r="K2418" s="16"/>
      <c r="L2418" s="17"/>
      <c r="M2418" s="17"/>
      <c r="N2418" s="17"/>
      <c r="Q2418" s="17"/>
      <c r="R2418" s="17"/>
      <c r="S2418" s="17"/>
      <c r="T2418" s="17"/>
      <c r="U2418" s="17"/>
      <c r="V2418" s="17"/>
      <c r="W2418" s="66">
        <v>0.45763888888888887</v>
      </c>
      <c r="X2418" s="7">
        <v>120.2</v>
      </c>
      <c r="Y2418" s="7">
        <v>97.8</v>
      </c>
      <c r="Z2418" s="66">
        <v>0.45763888888888887</v>
      </c>
    </row>
    <row r="2419" spans="2:26" x14ac:dyDescent="0.3">
      <c r="B2419" s="16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Q2419" s="17"/>
      <c r="R2419" s="17"/>
      <c r="S2419" s="17"/>
      <c r="T2419" s="17"/>
      <c r="U2419" s="17"/>
      <c r="V2419" s="17"/>
      <c r="W2419" s="66">
        <v>0.47847222222222219</v>
      </c>
      <c r="X2419" s="7">
        <v>121.1</v>
      </c>
      <c r="Y2419" s="7">
        <v>96.5</v>
      </c>
      <c r="Z2419" s="66">
        <v>0.47847222222222219</v>
      </c>
    </row>
    <row r="2420" spans="2:26" x14ac:dyDescent="0.3">
      <c r="B2420" s="17"/>
      <c r="C2420" s="95">
        <v>44313</v>
      </c>
      <c r="D2420" s="17"/>
      <c r="E2420" s="17"/>
      <c r="F2420" s="7">
        <f>AVERAGE(F2422,F2431)</f>
        <v>14548.625</v>
      </c>
      <c r="G2420" s="96"/>
      <c r="H2420" s="66">
        <v>0.10902777777777778</v>
      </c>
      <c r="I2420" s="66"/>
      <c r="J2420" s="66"/>
      <c r="K2420" s="66"/>
      <c r="L2420" s="66"/>
      <c r="M2420" s="66">
        <v>0.13541666666666666</v>
      </c>
      <c r="N2420" s="17"/>
      <c r="Q2420" s="17"/>
      <c r="R2420" s="17"/>
      <c r="S2420" s="17"/>
      <c r="T2420" s="17"/>
      <c r="U2420" s="17"/>
      <c r="V2420" s="17"/>
      <c r="W2420" s="66">
        <v>0.4993055555555555</v>
      </c>
      <c r="X2420" s="7">
        <v>136.4</v>
      </c>
      <c r="Y2420" s="7">
        <v>83.5</v>
      </c>
      <c r="Z2420" s="66">
        <v>0.4993055555555555</v>
      </c>
    </row>
    <row r="2421" spans="2:26" x14ac:dyDescent="0.3">
      <c r="B2421" s="90" t="s">
        <v>68</v>
      </c>
      <c r="C2421" s="66">
        <v>0.41666666666666669</v>
      </c>
      <c r="D2421" s="66">
        <v>0.3888888888888889</v>
      </c>
      <c r="E2421" s="17"/>
      <c r="F2421" s="17"/>
      <c r="G2421" s="17"/>
      <c r="H2421" s="23">
        <v>70.599999999999994</v>
      </c>
      <c r="I2421" s="7"/>
      <c r="J2421" s="7"/>
      <c r="K2421" s="7"/>
      <c r="L2421" s="7"/>
      <c r="M2421" s="7">
        <v>14647</v>
      </c>
      <c r="N2421" s="17"/>
      <c r="Q2421" s="150" t="s">
        <v>72</v>
      </c>
      <c r="R2421" s="151"/>
      <c r="S2421" s="151"/>
      <c r="T2421" s="151"/>
      <c r="U2421" s="152"/>
      <c r="V2421" s="17"/>
      <c r="W2421" s="66">
        <v>0.52013888888888882</v>
      </c>
      <c r="X2421" s="7">
        <v>137.4</v>
      </c>
      <c r="Y2421" s="7">
        <v>83.7</v>
      </c>
      <c r="Z2421" s="66">
        <v>0.52013888888888882</v>
      </c>
    </row>
    <row r="2422" spans="2:26" x14ac:dyDescent="0.3">
      <c r="B2422" s="5">
        <f>B2423-50</f>
        <v>14500</v>
      </c>
      <c r="C2422" s="7">
        <v>154.19999999999999</v>
      </c>
      <c r="D2422" s="7">
        <v>121.95</v>
      </c>
      <c r="E2422" s="16"/>
      <c r="F2422" s="7">
        <f t="shared" ref="F2422:F2427" si="199">B2422+D2422</f>
        <v>14621.95</v>
      </c>
      <c r="G2422" s="17"/>
      <c r="H2422" s="7">
        <v>199.9</v>
      </c>
      <c r="I2422" s="7"/>
      <c r="J2422" s="7"/>
      <c r="K2422" s="7"/>
      <c r="L2422" s="7"/>
      <c r="M2422" s="7">
        <v>196.85</v>
      </c>
      <c r="N2422" s="17"/>
      <c r="Q2422" s="34"/>
      <c r="R2422" s="34" t="s">
        <v>111</v>
      </c>
      <c r="S2422" s="34" t="s">
        <v>2</v>
      </c>
      <c r="T2422" s="34" t="s">
        <v>1</v>
      </c>
      <c r="U2422" s="34" t="s">
        <v>111</v>
      </c>
      <c r="V2422" s="17"/>
      <c r="W2422" s="66">
        <v>0.54097222222222219</v>
      </c>
      <c r="X2422" s="7">
        <v>128.65</v>
      </c>
      <c r="Y2422" s="7">
        <v>88.15</v>
      </c>
      <c r="Z2422" s="66">
        <v>0.54097222222222219</v>
      </c>
    </row>
    <row r="2423" spans="2:26" x14ac:dyDescent="0.3">
      <c r="B2423" s="5">
        <f>B2424-50</f>
        <v>14550</v>
      </c>
      <c r="C2423" s="7">
        <v>122.95</v>
      </c>
      <c r="D2423" s="7">
        <v>95.25</v>
      </c>
      <c r="E2423" s="16"/>
      <c r="F2423" s="7">
        <f t="shared" si="199"/>
        <v>14645.25</v>
      </c>
      <c r="G2423" s="17"/>
      <c r="H2423" s="7">
        <v>162</v>
      </c>
      <c r="I2423" s="7"/>
      <c r="J2423" s="7"/>
      <c r="K2423" s="7"/>
      <c r="L2423" s="7"/>
      <c r="M2423" s="7">
        <v>159.15</v>
      </c>
      <c r="P2423" s="17"/>
      <c r="Q2423" s="7">
        <f>(U2423*T2423)-(R2423*S2423)</f>
        <v>-532.5</v>
      </c>
      <c r="R2423" s="109">
        <f>M2417*2</f>
        <v>150</v>
      </c>
      <c r="S2423" s="7">
        <v>70.099999999999994</v>
      </c>
      <c r="T2423" s="18">
        <v>66.55</v>
      </c>
      <c r="U2423" s="109">
        <f>R2423</f>
        <v>150</v>
      </c>
      <c r="V2423" s="17"/>
      <c r="W2423" s="66">
        <v>6.1805555555555558E-2</v>
      </c>
      <c r="X2423" s="7">
        <v>125.35</v>
      </c>
      <c r="Y2423" s="7">
        <v>88.6</v>
      </c>
      <c r="Z2423" s="66">
        <v>6.1805555555555558E-2</v>
      </c>
    </row>
    <row r="2424" spans="2:26" x14ac:dyDescent="0.3">
      <c r="B2424" s="97">
        <v>14600</v>
      </c>
      <c r="C2424" s="7">
        <v>94.8</v>
      </c>
      <c r="D2424" s="7">
        <v>71.400000000000006</v>
      </c>
      <c r="E2424" s="16"/>
      <c r="F2424" s="7">
        <f t="shared" si="199"/>
        <v>14671.4</v>
      </c>
      <c r="G2424" s="17"/>
      <c r="H2424" s="7">
        <v>127.15</v>
      </c>
      <c r="I2424" s="7"/>
      <c r="J2424" s="7"/>
      <c r="K2424" s="7"/>
      <c r="L2424" s="7"/>
      <c r="M2424" s="7">
        <v>124.5</v>
      </c>
      <c r="P2424" s="17"/>
      <c r="Q2424" s="7">
        <f t="shared" ref="Q2424:Q2426" si="200">(U2424*T2424)-(R2424*S2424)</f>
        <v>0</v>
      </c>
      <c r="R2424" s="109"/>
      <c r="S2424" s="7"/>
      <c r="T2424" s="18"/>
      <c r="U2424" s="109">
        <f t="shared" ref="U2424:U2426" si="201">R2424</f>
        <v>0</v>
      </c>
      <c r="V2424" s="17"/>
      <c r="W2424" s="66">
        <v>8.2638888888888887E-2</v>
      </c>
      <c r="X2424" s="7">
        <v>144.5</v>
      </c>
      <c r="Y2424" s="7">
        <v>72.5</v>
      </c>
      <c r="Z2424" s="66">
        <v>8.2638888888888887E-2</v>
      </c>
    </row>
    <row r="2425" spans="2:26" x14ac:dyDescent="0.3">
      <c r="B2425" s="5">
        <f>B2424+50</f>
        <v>14650</v>
      </c>
      <c r="C2425" s="7">
        <v>71.150000000000006</v>
      </c>
      <c r="D2425" s="23">
        <v>52.05</v>
      </c>
      <c r="E2425" s="16"/>
      <c r="F2425" s="98">
        <f t="shared" si="199"/>
        <v>14702.05</v>
      </c>
      <c r="G2425" s="17"/>
      <c r="H2425" s="7">
        <v>96.5</v>
      </c>
      <c r="I2425" s="7"/>
      <c r="J2425" s="7"/>
      <c r="K2425" s="7"/>
      <c r="L2425" s="7"/>
      <c r="M2425" s="7">
        <v>93.4</v>
      </c>
      <c r="N2425" s="17"/>
      <c r="P2425" s="17"/>
      <c r="Q2425" s="7">
        <f t="shared" si="200"/>
        <v>0</v>
      </c>
      <c r="R2425" s="109"/>
      <c r="S2425" s="18"/>
      <c r="T2425" s="18"/>
      <c r="U2425" s="109">
        <f t="shared" si="201"/>
        <v>0</v>
      </c>
      <c r="V2425" s="17"/>
      <c r="W2425" s="17"/>
      <c r="X2425" s="17"/>
      <c r="Y2425" s="17"/>
      <c r="Z2425" s="17"/>
    </row>
    <row r="2426" spans="2:26" x14ac:dyDescent="0.3">
      <c r="B2426" s="99">
        <f>B2425+50</f>
        <v>14700</v>
      </c>
      <c r="C2426" s="51">
        <v>51.2</v>
      </c>
      <c r="D2426" s="7">
        <v>36.4</v>
      </c>
      <c r="E2426" s="16"/>
      <c r="F2426" s="7">
        <f t="shared" si="199"/>
        <v>14736.4</v>
      </c>
      <c r="G2426" s="17"/>
      <c r="H2426" s="7">
        <v>70.099999999999994</v>
      </c>
      <c r="I2426" s="7"/>
      <c r="J2426" s="7"/>
      <c r="K2426" s="7"/>
      <c r="L2426" s="7"/>
      <c r="M2426" s="7">
        <v>66.55</v>
      </c>
      <c r="N2426" s="17"/>
      <c r="P2426" s="17"/>
      <c r="Q2426" s="7">
        <f t="shared" si="200"/>
        <v>0</v>
      </c>
      <c r="R2426" s="109"/>
      <c r="S2426" s="18"/>
      <c r="T2426" s="18"/>
      <c r="U2426" s="109">
        <f t="shared" si="201"/>
        <v>0</v>
      </c>
      <c r="V2426" s="17"/>
      <c r="W2426" s="90" t="s">
        <v>68</v>
      </c>
      <c r="X2426" s="91" t="s">
        <v>69</v>
      </c>
      <c r="Y2426" s="92" t="s">
        <v>70</v>
      </c>
      <c r="Z2426" s="90" t="s">
        <v>68</v>
      </c>
    </row>
    <row r="2427" spans="2:26" x14ac:dyDescent="0.3">
      <c r="B2427" s="5">
        <f>B2426+50</f>
        <v>14750</v>
      </c>
      <c r="C2427" s="7">
        <v>35.5</v>
      </c>
      <c r="D2427" s="7">
        <v>24.45</v>
      </c>
      <c r="E2427" s="16">
        <f>E2428-(F2428-E2428)</f>
        <v>30.875</v>
      </c>
      <c r="F2427" s="7">
        <f t="shared" si="199"/>
        <v>14774.45</v>
      </c>
      <c r="G2427" s="16"/>
      <c r="H2427" s="7">
        <v>48.35</v>
      </c>
      <c r="I2427" s="7"/>
      <c r="J2427" s="7"/>
      <c r="K2427" s="7"/>
      <c r="L2427" s="7"/>
      <c r="M2427" s="7">
        <v>45.7</v>
      </c>
      <c r="N2427" s="17"/>
      <c r="P2427" s="17"/>
      <c r="Q2427" s="7"/>
      <c r="R2427" s="109"/>
      <c r="S2427" s="109"/>
      <c r="T2427" s="114"/>
      <c r="U2427" s="109"/>
      <c r="V2427" s="17"/>
      <c r="W2427" s="66">
        <v>0.41597222222222219</v>
      </c>
      <c r="X2427" s="7">
        <v>51.2</v>
      </c>
      <c r="Y2427" s="7">
        <v>56.5</v>
      </c>
      <c r="Z2427" s="66">
        <v>0.41597222222222219</v>
      </c>
    </row>
    <row r="2428" spans="2:26" x14ac:dyDescent="0.3">
      <c r="B2428" s="17"/>
      <c r="C2428" s="17"/>
      <c r="D2428" s="16"/>
      <c r="E2428" s="16">
        <f>F2428-(G2428-F2428)</f>
        <v>50.75</v>
      </c>
      <c r="F2428" s="16">
        <f>AVERAGE(C2425,C2434)</f>
        <v>70.625</v>
      </c>
      <c r="G2428" s="16">
        <f>AVERAGE(C2424,C2433)</f>
        <v>90.5</v>
      </c>
      <c r="H2428" s="101"/>
      <c r="I2428" s="101"/>
      <c r="J2428" s="101"/>
      <c r="K2428" s="101"/>
      <c r="L2428" s="101"/>
      <c r="M2428" s="101"/>
      <c r="N2428" s="17"/>
      <c r="P2428" s="17"/>
      <c r="Q2428" s="17"/>
      <c r="R2428" s="17"/>
      <c r="S2428" s="17"/>
      <c r="T2428" s="17"/>
      <c r="U2428" s="16"/>
      <c r="V2428" s="16"/>
      <c r="W2428" s="66">
        <v>0.4368055555555555</v>
      </c>
      <c r="X2428" s="7">
        <v>46.25</v>
      </c>
      <c r="Y2428" s="7">
        <v>55.65</v>
      </c>
      <c r="Z2428" s="66">
        <v>0.4368055555555555</v>
      </c>
    </row>
    <row r="2429" spans="2:26" x14ac:dyDescent="0.3">
      <c r="B2429" s="17"/>
      <c r="C2429" s="95">
        <v>44315</v>
      </c>
      <c r="D2429" s="17"/>
      <c r="F2429" s="16"/>
      <c r="H2429" s="66">
        <v>0.10902777777777778</v>
      </c>
      <c r="I2429" s="66"/>
      <c r="J2429" s="66"/>
      <c r="K2429" s="66"/>
      <c r="L2429" s="66"/>
      <c r="M2429" s="66">
        <v>0.13541666666666666</v>
      </c>
      <c r="N2429" s="17"/>
      <c r="P2429" s="17"/>
      <c r="Q2429" s="7">
        <f t="shared" ref="Q2429:Q2432" si="202">(U2429*T2429)-(R2429*S2429)</f>
        <v>0</v>
      </c>
      <c r="R2429" s="109">
        <f>R2423</f>
        <v>150</v>
      </c>
      <c r="S2429" s="7"/>
      <c r="T2429" s="7"/>
      <c r="U2429" s="109">
        <f>R2429</f>
        <v>150</v>
      </c>
      <c r="V2429" s="17"/>
      <c r="W2429" s="66">
        <v>0.45763888888888887</v>
      </c>
      <c r="X2429" s="7">
        <v>47.9</v>
      </c>
      <c r="Y2429" s="7">
        <v>51.5</v>
      </c>
      <c r="Z2429" s="66">
        <v>0.45763888888888887</v>
      </c>
    </row>
    <row r="2430" spans="2:26" x14ac:dyDescent="0.3">
      <c r="B2430" s="90" t="s">
        <v>68</v>
      </c>
      <c r="C2430" s="66">
        <v>0.41666666666666669</v>
      </c>
      <c r="D2430" s="66">
        <v>0.4145833333333333</v>
      </c>
      <c r="E2430" s="16">
        <f>F2430-(G2430-F2430)</f>
        <v>50.75</v>
      </c>
      <c r="F2430" s="16">
        <f>AVERAGE(C2434,C2425)</f>
        <v>70.625</v>
      </c>
      <c r="G2430" s="16">
        <f>AVERAGE(C2433,C2424)</f>
        <v>90.5</v>
      </c>
      <c r="H2430" s="7">
        <v>14652</v>
      </c>
      <c r="I2430" s="7"/>
      <c r="J2430" s="7"/>
      <c r="K2430" s="7"/>
      <c r="L2430" s="7"/>
      <c r="M2430" s="7">
        <v>14647</v>
      </c>
      <c r="N2430" s="17"/>
      <c r="P2430" s="17"/>
      <c r="Q2430" s="7">
        <f t="shared" si="202"/>
        <v>0</v>
      </c>
      <c r="R2430" s="109"/>
      <c r="S2430" s="7"/>
      <c r="T2430" s="7"/>
      <c r="U2430" s="109">
        <f>R2430</f>
        <v>0</v>
      </c>
      <c r="V2430" s="17"/>
      <c r="W2430" s="66">
        <v>0.47847222222222219</v>
      </c>
      <c r="X2430" s="7">
        <v>48</v>
      </c>
      <c r="Y2430" s="7">
        <v>50.75</v>
      </c>
      <c r="Z2430" s="66">
        <v>0.47847222222222219</v>
      </c>
    </row>
    <row r="2431" spans="2:26" x14ac:dyDescent="0.3">
      <c r="B2431" s="5">
        <f>B2432+50</f>
        <v>14600</v>
      </c>
      <c r="C2431" s="7">
        <v>127.2</v>
      </c>
      <c r="D2431" s="7">
        <v>124.7</v>
      </c>
      <c r="E2431" s="16">
        <f>E2430-(F2430-E2430)</f>
        <v>30.875</v>
      </c>
      <c r="F2431" s="7">
        <f t="shared" ref="F2431:F2436" si="203">B2431-D2431</f>
        <v>14475.3</v>
      </c>
      <c r="G2431" s="16"/>
      <c r="H2431" s="7">
        <v>75.099999999999994</v>
      </c>
      <c r="I2431" s="7"/>
      <c r="J2431" s="7"/>
      <c r="K2431" s="7"/>
      <c r="L2431" s="7"/>
      <c r="M2431" s="7">
        <v>79.349999999999994</v>
      </c>
      <c r="N2431" s="17"/>
      <c r="P2431" s="17"/>
      <c r="Q2431" s="7">
        <f t="shared" si="202"/>
        <v>0</v>
      </c>
      <c r="R2431" s="109"/>
      <c r="S2431" s="18"/>
      <c r="T2431" s="18"/>
      <c r="U2431" s="109"/>
      <c r="V2431" s="16"/>
      <c r="W2431" s="66">
        <v>0.4993055555555555</v>
      </c>
      <c r="X2431" s="7">
        <v>55.75</v>
      </c>
      <c r="Y2431" s="7">
        <v>44.15</v>
      </c>
      <c r="Z2431" s="66">
        <v>0.4993055555555555</v>
      </c>
    </row>
    <row r="2432" spans="2:26" x14ac:dyDescent="0.3">
      <c r="B2432" s="5">
        <f>B2433+50</f>
        <v>14550</v>
      </c>
      <c r="C2432" s="7">
        <v>104.95</v>
      </c>
      <c r="D2432" s="7">
        <v>102.6</v>
      </c>
      <c r="E2432" s="16"/>
      <c r="F2432" s="7">
        <f t="shared" si="203"/>
        <v>14447.4</v>
      </c>
      <c r="G2432" s="17"/>
      <c r="H2432" s="7">
        <v>59.8</v>
      </c>
      <c r="I2432" s="7"/>
      <c r="J2432" s="7"/>
      <c r="K2432" s="7"/>
      <c r="L2432" s="7"/>
      <c r="M2432" s="7">
        <v>63.5</v>
      </c>
      <c r="N2432" s="17"/>
      <c r="P2432" s="17"/>
      <c r="Q2432" s="7">
        <f t="shared" si="202"/>
        <v>0</v>
      </c>
      <c r="R2432" s="109"/>
      <c r="S2432" s="18"/>
      <c r="T2432" s="18"/>
      <c r="U2432" s="109"/>
      <c r="V2432" s="16"/>
      <c r="W2432" s="66">
        <v>0.52013888888888882</v>
      </c>
      <c r="X2432" s="7">
        <v>57</v>
      </c>
      <c r="Y2432" s="7">
        <v>44.25</v>
      </c>
      <c r="Z2432" s="66">
        <v>0.52013888888888882</v>
      </c>
    </row>
    <row r="2433" spans="2:26" x14ac:dyDescent="0.3">
      <c r="B2433" s="97">
        <v>14500</v>
      </c>
      <c r="C2433" s="7">
        <v>86.2</v>
      </c>
      <c r="D2433" s="7">
        <v>84.15</v>
      </c>
      <c r="E2433" s="16"/>
      <c r="F2433" s="7">
        <f t="shared" si="203"/>
        <v>14415.85</v>
      </c>
      <c r="G2433" s="17"/>
      <c r="H2433" s="7">
        <v>47.05</v>
      </c>
      <c r="I2433" s="7"/>
      <c r="J2433" s="7"/>
      <c r="K2433" s="7"/>
      <c r="L2433" s="7"/>
      <c r="M2433" s="7">
        <v>51.2</v>
      </c>
      <c r="N2433" s="17"/>
      <c r="P2433" s="17"/>
      <c r="Q2433" s="7">
        <f>SUM(Q2423:Q2432)</f>
        <v>-532.5</v>
      </c>
      <c r="R2433" s="14">
        <f>SUM(R2423:R2432)</f>
        <v>300</v>
      </c>
      <c r="S2433" s="109">
        <f>R2433-U2433</f>
        <v>0</v>
      </c>
      <c r="T2433" s="114" t="e">
        <f>Q2433/S2433</f>
        <v>#DIV/0!</v>
      </c>
      <c r="U2433" s="14">
        <f>SUM(U2423:U2432)</f>
        <v>300</v>
      </c>
      <c r="V2433" s="17"/>
      <c r="W2433" s="66">
        <v>0.54097222222222219</v>
      </c>
      <c r="X2433" s="7">
        <v>51.75</v>
      </c>
      <c r="Y2433" s="7">
        <v>46.5</v>
      </c>
      <c r="Z2433" s="66">
        <v>0.54097222222222219</v>
      </c>
    </row>
    <row r="2434" spans="2:26" x14ac:dyDescent="0.3">
      <c r="B2434" s="14">
        <f>B2433-50</f>
        <v>14450</v>
      </c>
      <c r="C2434" s="7">
        <v>70.099999999999994</v>
      </c>
      <c r="D2434" s="23">
        <v>68</v>
      </c>
      <c r="E2434" s="16"/>
      <c r="F2434" s="98">
        <f t="shared" si="203"/>
        <v>14382</v>
      </c>
      <c r="G2434" s="17"/>
      <c r="H2434" s="7">
        <v>37</v>
      </c>
      <c r="I2434" s="7"/>
      <c r="J2434" s="7"/>
      <c r="K2434" s="7"/>
      <c r="L2434" s="7"/>
      <c r="M2434" s="7">
        <v>40.75</v>
      </c>
      <c r="N2434" s="17"/>
      <c r="P2434" s="17"/>
      <c r="Q2434" s="17"/>
      <c r="R2434" s="17"/>
      <c r="S2434" s="17"/>
      <c r="T2434" s="17"/>
      <c r="U2434" s="17"/>
      <c r="V2434" s="17"/>
      <c r="W2434" s="66">
        <v>6.1805555555555558E-2</v>
      </c>
      <c r="X2434" s="7">
        <v>49.1</v>
      </c>
      <c r="Y2434" s="7">
        <v>46.15</v>
      </c>
      <c r="Z2434" s="66">
        <v>6.1805555555555558E-2</v>
      </c>
    </row>
    <row r="2435" spans="2:26" x14ac:dyDescent="0.3">
      <c r="B2435" s="99">
        <f>B2434-50</f>
        <v>14400</v>
      </c>
      <c r="C2435" s="51">
        <v>56.5</v>
      </c>
      <c r="D2435" s="7">
        <v>54.8</v>
      </c>
      <c r="E2435" s="16"/>
      <c r="F2435" s="7">
        <f t="shared" si="203"/>
        <v>14345.2</v>
      </c>
      <c r="G2435" s="17"/>
      <c r="H2435" s="7">
        <v>29.15</v>
      </c>
      <c r="I2435" s="7"/>
      <c r="J2435" s="7"/>
      <c r="K2435" s="7"/>
      <c r="L2435" s="7"/>
      <c r="M2435" s="7">
        <v>32.6</v>
      </c>
      <c r="N2435" s="17"/>
      <c r="P2435" s="17"/>
      <c r="Q2435" s="17"/>
      <c r="R2435" s="17"/>
      <c r="S2435" s="17"/>
      <c r="T2435" s="17"/>
      <c r="U2435" s="17"/>
      <c r="V2435" s="17"/>
      <c r="W2435" s="66">
        <v>8.2638888888888887E-2</v>
      </c>
      <c r="X2435" s="7">
        <v>59.05</v>
      </c>
      <c r="Y2435" s="7">
        <v>37.1</v>
      </c>
      <c r="Z2435" s="66">
        <v>8.2638888888888887E-2</v>
      </c>
    </row>
    <row r="2436" spans="2:26" x14ac:dyDescent="0.3">
      <c r="B2436" s="5">
        <f>B2435-50</f>
        <v>14350</v>
      </c>
      <c r="C2436" s="7">
        <v>45.45</v>
      </c>
      <c r="D2436" s="7">
        <v>44.4</v>
      </c>
      <c r="E2436" s="16"/>
      <c r="F2436" s="7">
        <f t="shared" si="203"/>
        <v>14305.6</v>
      </c>
      <c r="G2436" s="16">
        <f>AVERAGE(H2426,H2436)</f>
        <v>46.599999999999994</v>
      </c>
      <c r="H2436" s="7">
        <v>23.1</v>
      </c>
      <c r="I2436" s="7"/>
      <c r="J2436" s="7"/>
      <c r="K2436" s="7"/>
      <c r="L2436" s="7"/>
      <c r="M2436" s="7">
        <v>26.25</v>
      </c>
      <c r="N2436" s="17"/>
      <c r="P2436" s="98">
        <f>Q2433</f>
        <v>-532.5</v>
      </c>
      <c r="Q2436" s="92" t="s">
        <v>72</v>
      </c>
      <c r="R2436" s="17"/>
      <c r="T2436" s="92" t="s">
        <v>73</v>
      </c>
      <c r="U2436" s="7">
        <f>((X2428+Y2428)-(X2436+Y2436))</f>
        <v>0</v>
      </c>
      <c r="V2436" s="98">
        <f>U2436*M2417*2</f>
        <v>0</v>
      </c>
      <c r="W2436" s="66">
        <v>0.13541666666666666</v>
      </c>
      <c r="X2436" s="7">
        <v>46.25</v>
      </c>
      <c r="Y2436" s="7">
        <v>55.65</v>
      </c>
      <c r="Z2436" s="66">
        <v>0.13541666666666666</v>
      </c>
    </row>
    <row r="2448" spans="2:26" x14ac:dyDescent="0.3">
      <c r="B2448" s="40"/>
      <c r="C2448" s="50">
        <f>AVERAGE(B2449,D2448)</f>
        <v>14770</v>
      </c>
      <c r="D2448" s="51">
        <f>B2449+E2449</f>
        <v>14800</v>
      </c>
      <c r="E2448" s="50">
        <f>AVERAGE(D2448,F2448)</f>
        <v>14830</v>
      </c>
      <c r="F2448" s="50">
        <f>D2448+E2449</f>
        <v>14860</v>
      </c>
      <c r="G2448" s="17"/>
      <c r="H2448" s="88" t="str">
        <f>IF((C2457-D2457)&gt;(C2466-D2466),"LONG",IF(C2466&gt;D2464,"LONG","SHORT"))</f>
        <v>LONG</v>
      </c>
      <c r="I2448" s="104">
        <v>14685</v>
      </c>
      <c r="J2448" s="105" t="s">
        <v>122</v>
      </c>
      <c r="K2448" s="106">
        <v>14758</v>
      </c>
      <c r="L2448" s="17"/>
      <c r="M2448" s="115">
        <f>900*(AVERAGE(AVERAGE(F2461,F2463),AVERAGE(E2464,E2460)))</f>
        <v>39195</v>
      </c>
      <c r="N2448" s="17"/>
      <c r="Q2448" s="153" t="s">
        <v>71</v>
      </c>
      <c r="R2448" s="154"/>
      <c r="S2448" s="153" t="s">
        <v>37</v>
      </c>
      <c r="T2448" s="154"/>
      <c r="U2448" s="17"/>
      <c r="V2448" s="17"/>
      <c r="W2448" s="90" t="s">
        <v>68</v>
      </c>
      <c r="X2448" s="91" t="s">
        <v>69</v>
      </c>
      <c r="Y2448" s="92" t="s">
        <v>70</v>
      </c>
      <c r="Z2448" s="90" t="s">
        <v>68</v>
      </c>
    </row>
    <row r="2449" spans="2:26" x14ac:dyDescent="0.3">
      <c r="B2449" s="50">
        <v>14740</v>
      </c>
      <c r="C2449" s="40"/>
      <c r="D2449" s="58"/>
      <c r="E2449" s="59">
        <f>ROUND((((B2449*F2449%)/4)/10),0)*10</f>
        <v>60</v>
      </c>
      <c r="F2449" s="51">
        <f>(100/B2449)*(F2458-F2467)</f>
        <v>1.6217774762550956</v>
      </c>
      <c r="G2449" s="17"/>
      <c r="H2449" s="93">
        <v>0.39166666666666666</v>
      </c>
      <c r="I2449" s="93">
        <v>0.39861111111111108</v>
      </c>
      <c r="J2449" s="93">
        <v>0.4055555555555555</v>
      </c>
      <c r="K2449" s="93">
        <v>0.41250000000000003</v>
      </c>
      <c r="M2449">
        <v>36000</v>
      </c>
      <c r="N2449" s="17"/>
      <c r="Q2449" s="51">
        <f>R2449-(S2449-R2449)</f>
        <v>13874.75</v>
      </c>
      <c r="R2449" s="51">
        <v>14262</v>
      </c>
      <c r="S2449" s="51">
        <v>14649.25</v>
      </c>
      <c r="T2449" s="51">
        <f>S2449+(S2449-R2449)</f>
        <v>15036.5</v>
      </c>
      <c r="U2449" s="17"/>
      <c r="V2449" s="17"/>
      <c r="W2449" s="66">
        <v>0.41597222222222219</v>
      </c>
      <c r="X2449" s="7">
        <v>138.19999999999999</v>
      </c>
      <c r="Y2449" s="7">
        <v>109</v>
      </c>
      <c r="Z2449" s="66">
        <v>0.41597222222222219</v>
      </c>
    </row>
    <row r="2450" spans="2:26" x14ac:dyDescent="0.3">
      <c r="B2450" s="40"/>
      <c r="C2450" s="50">
        <f>AVERAGE(B2449,D2450)</f>
        <v>14710</v>
      </c>
      <c r="D2450" s="51">
        <f>B2449-E2449</f>
        <v>14680</v>
      </c>
      <c r="E2450" s="50">
        <f>AVERAGE(D2450,F2450)</f>
        <v>14650</v>
      </c>
      <c r="F2450" s="50">
        <f>D2450-E2449</f>
        <v>14620</v>
      </c>
      <c r="G2450" s="17"/>
      <c r="H2450" s="51">
        <v>14741.75</v>
      </c>
      <c r="I2450" s="51">
        <v>14741</v>
      </c>
      <c r="J2450" s="51">
        <v>14737</v>
      </c>
      <c r="K2450" s="51">
        <v>14752</v>
      </c>
      <c r="L2450" s="17"/>
      <c r="M2450">
        <f>ROUND((M2449/375)/75,0)*75</f>
        <v>75</v>
      </c>
      <c r="N2450" s="17"/>
      <c r="Q2450" s="17"/>
      <c r="R2450" s="17"/>
      <c r="S2450" s="17"/>
      <c r="T2450" s="16"/>
      <c r="U2450" s="17"/>
      <c r="V2450" s="17"/>
      <c r="W2450" s="66">
        <v>0.4368055555555555</v>
      </c>
      <c r="X2450" s="7">
        <v>132.19999999999999</v>
      </c>
      <c r="Y2450" s="7">
        <v>113.6</v>
      </c>
      <c r="Z2450" s="66">
        <v>0.4368055555555555</v>
      </c>
    </row>
    <row r="2451" spans="2:26" x14ac:dyDescent="0.3">
      <c r="B2451" s="17"/>
      <c r="C2451" s="17"/>
      <c r="D2451" s="17"/>
      <c r="E2451" s="17"/>
      <c r="F2451" s="16"/>
      <c r="G2451" s="16"/>
      <c r="H2451" s="17"/>
      <c r="I2451" s="17"/>
      <c r="J2451" s="17"/>
      <c r="K2451" s="16"/>
      <c r="L2451" s="17"/>
      <c r="M2451" s="17"/>
      <c r="N2451" s="17"/>
      <c r="Q2451" s="17"/>
      <c r="R2451" s="17"/>
      <c r="S2451" s="17"/>
      <c r="T2451" s="17"/>
      <c r="U2451" s="17"/>
      <c r="V2451" s="17"/>
      <c r="W2451" s="66">
        <v>0.45763888888888887</v>
      </c>
      <c r="X2451" s="7">
        <v>153.55000000000001</v>
      </c>
      <c r="Y2451" s="7">
        <v>94</v>
      </c>
      <c r="Z2451" s="66">
        <v>0.45763888888888887</v>
      </c>
    </row>
    <row r="2452" spans="2:26" x14ac:dyDescent="0.3">
      <c r="B2452" s="16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Q2452" s="17"/>
      <c r="R2452" s="17"/>
      <c r="S2452" s="17"/>
      <c r="T2452" s="17"/>
      <c r="U2452" s="17"/>
      <c r="V2452" s="17"/>
      <c r="W2452" s="66">
        <v>0.47847222222222219</v>
      </c>
      <c r="X2452" s="7">
        <v>151.55000000000001</v>
      </c>
      <c r="Y2452" s="7">
        <v>93.25</v>
      </c>
      <c r="Z2452" s="66">
        <v>0.47847222222222219</v>
      </c>
    </row>
    <row r="2453" spans="2:26" x14ac:dyDescent="0.3">
      <c r="B2453" s="17"/>
      <c r="C2453" s="95">
        <v>44314</v>
      </c>
      <c r="D2453" s="17"/>
      <c r="E2453" s="17"/>
      <c r="F2453" s="7">
        <f>AVERAGE(F2455,F2464)</f>
        <v>14737.474999999999</v>
      </c>
      <c r="G2453" s="96"/>
      <c r="H2453" s="66">
        <v>0.50902777777777775</v>
      </c>
      <c r="I2453" s="66">
        <v>0.51736111111111105</v>
      </c>
      <c r="J2453" s="66">
        <v>0.52986111111111112</v>
      </c>
      <c r="K2453" s="66">
        <v>9.4444444444444442E-2</v>
      </c>
      <c r="L2453" s="66"/>
      <c r="M2453" s="66"/>
      <c r="N2453" s="17"/>
      <c r="Q2453" s="17"/>
      <c r="R2453" s="17"/>
      <c r="S2453" s="17"/>
      <c r="T2453" s="17"/>
      <c r="U2453" s="17"/>
      <c r="V2453" s="17"/>
      <c r="W2453" s="66">
        <v>0.4993055555555555</v>
      </c>
      <c r="X2453" s="7">
        <v>159.30000000000001</v>
      </c>
      <c r="Y2453" s="7">
        <v>84.65</v>
      </c>
      <c r="Z2453" s="66">
        <v>0.4993055555555555</v>
      </c>
    </row>
    <row r="2454" spans="2:26" x14ac:dyDescent="0.3">
      <c r="B2454" s="90" t="s">
        <v>68</v>
      </c>
      <c r="C2454" s="66">
        <v>0.41666666666666669</v>
      </c>
      <c r="D2454" s="66">
        <v>0.38750000000000001</v>
      </c>
      <c r="E2454" s="17"/>
      <c r="F2454" s="17"/>
      <c r="G2454" s="17"/>
      <c r="H2454" s="23">
        <v>68.3</v>
      </c>
      <c r="I2454" s="23">
        <v>93.2</v>
      </c>
      <c r="J2454" s="7">
        <v>14832</v>
      </c>
      <c r="K2454" s="7">
        <v>14881.15</v>
      </c>
      <c r="L2454" s="7"/>
      <c r="M2454" s="7"/>
      <c r="N2454" s="17"/>
      <c r="Q2454" s="150" t="s">
        <v>72</v>
      </c>
      <c r="R2454" s="151"/>
      <c r="S2454" s="151"/>
      <c r="T2454" s="151"/>
      <c r="U2454" s="152"/>
      <c r="V2454" s="17"/>
      <c r="W2454" s="66">
        <v>0.52013888888888882</v>
      </c>
      <c r="X2454" s="7">
        <v>197.45</v>
      </c>
      <c r="Y2454" s="7">
        <v>70.95</v>
      </c>
      <c r="Z2454" s="66">
        <v>0.52013888888888882</v>
      </c>
    </row>
    <row r="2455" spans="2:26" x14ac:dyDescent="0.3">
      <c r="B2455" s="5">
        <f>B2456-50</f>
        <v>14650</v>
      </c>
      <c r="C2455" s="7">
        <v>138.19999999999999</v>
      </c>
      <c r="D2455" s="7">
        <v>126.8</v>
      </c>
      <c r="E2455" s="16"/>
      <c r="F2455" s="7">
        <f t="shared" ref="F2455:F2460" si="204">B2455+D2455</f>
        <v>14776.8</v>
      </c>
      <c r="G2455" s="17"/>
      <c r="H2455" s="7">
        <v>169</v>
      </c>
      <c r="I2455" s="7">
        <v>196.3</v>
      </c>
      <c r="J2455" s="7">
        <v>205</v>
      </c>
      <c r="K2455" s="7">
        <v>244.7</v>
      </c>
      <c r="L2455" s="7"/>
      <c r="M2455" s="7"/>
      <c r="N2455" s="17"/>
      <c r="Q2455" s="34"/>
      <c r="R2455" s="34" t="s">
        <v>111</v>
      </c>
      <c r="S2455" s="34" t="s">
        <v>2</v>
      </c>
      <c r="T2455" s="34" t="s">
        <v>1</v>
      </c>
      <c r="U2455" s="34" t="s">
        <v>111</v>
      </c>
      <c r="V2455" s="17"/>
      <c r="W2455" s="66">
        <v>0.54097222222222219</v>
      </c>
      <c r="X2455" s="7">
        <v>212.85</v>
      </c>
      <c r="Y2455" s="7">
        <v>61.7</v>
      </c>
      <c r="Z2455" s="66">
        <v>0.54097222222222219</v>
      </c>
    </row>
    <row r="2456" spans="2:26" x14ac:dyDescent="0.3">
      <c r="B2456" s="5">
        <f>B2457-50</f>
        <v>14700</v>
      </c>
      <c r="C2456" s="7">
        <v>103.4</v>
      </c>
      <c r="D2456" s="7">
        <v>95</v>
      </c>
      <c r="E2456" s="16"/>
      <c r="F2456" s="7">
        <f t="shared" si="204"/>
        <v>14795</v>
      </c>
      <c r="G2456" s="17"/>
      <c r="H2456" s="7">
        <v>131</v>
      </c>
      <c r="I2456" s="7">
        <v>155.55000000000001</v>
      </c>
      <c r="J2456" s="7">
        <v>163.65</v>
      </c>
      <c r="K2456" s="7">
        <v>200.2</v>
      </c>
      <c r="L2456" s="7"/>
      <c r="M2456" s="7"/>
      <c r="P2456" s="17"/>
      <c r="Q2456" s="7">
        <f>(U2456*T2456)-(R2456*S2456)</f>
        <v>1927.5</v>
      </c>
      <c r="R2456" s="109">
        <v>75</v>
      </c>
      <c r="S2456" s="7">
        <v>67.5</v>
      </c>
      <c r="T2456" s="18">
        <v>93.2</v>
      </c>
      <c r="U2456" s="109">
        <f>R2456</f>
        <v>75</v>
      </c>
      <c r="V2456" s="17"/>
      <c r="W2456" s="66">
        <v>6.1805555555555558E-2</v>
      </c>
      <c r="X2456" s="7">
        <v>222.5</v>
      </c>
      <c r="Y2456" s="7">
        <v>56.85</v>
      </c>
      <c r="Z2456" s="66">
        <v>6.1805555555555558E-2</v>
      </c>
    </row>
    <row r="2457" spans="2:26" x14ac:dyDescent="0.3">
      <c r="B2457" s="97">
        <v>14750</v>
      </c>
      <c r="C2457" s="7">
        <v>74.05</v>
      </c>
      <c r="D2457" s="7">
        <v>67.599999999999994</v>
      </c>
      <c r="E2457" s="16"/>
      <c r="F2457" s="7">
        <f t="shared" si="204"/>
        <v>14817.6</v>
      </c>
      <c r="G2457" s="17"/>
      <c r="H2457" s="7">
        <v>96.7</v>
      </c>
      <c r="I2457" s="7">
        <v>120.15</v>
      </c>
      <c r="J2457" s="7">
        <v>125.65</v>
      </c>
      <c r="K2457" s="7">
        <v>158.25</v>
      </c>
      <c r="L2457" s="7"/>
      <c r="M2457" s="7"/>
      <c r="P2457" s="17"/>
      <c r="Q2457" s="7">
        <f t="shared" ref="Q2457:Q2459" si="205">(U2457*T2457)-(R2457*S2457)</f>
        <v>3993.75</v>
      </c>
      <c r="R2457" s="109">
        <v>75</v>
      </c>
      <c r="S2457" s="7">
        <v>67.5</v>
      </c>
      <c r="T2457" s="18">
        <v>120.75</v>
      </c>
      <c r="U2457" s="109">
        <f>R2457</f>
        <v>75</v>
      </c>
      <c r="V2457" s="17"/>
      <c r="W2457" s="66">
        <v>8.2638888888888887E-2</v>
      </c>
      <c r="X2457" s="7">
        <v>237.8</v>
      </c>
      <c r="Y2457" s="7">
        <v>47.2</v>
      </c>
      <c r="Z2457" s="66">
        <v>8.2638888888888887E-2</v>
      </c>
    </row>
    <row r="2458" spans="2:26" x14ac:dyDescent="0.3">
      <c r="B2458" s="5">
        <f>B2457+50</f>
        <v>14800</v>
      </c>
      <c r="C2458" s="51">
        <v>50.35</v>
      </c>
      <c r="D2458" s="23">
        <v>45.85</v>
      </c>
      <c r="E2458" s="16"/>
      <c r="F2458" s="98">
        <f t="shared" si="204"/>
        <v>14845.85</v>
      </c>
      <c r="G2458" s="17"/>
      <c r="H2458" s="7">
        <v>67.5</v>
      </c>
      <c r="I2458" s="7">
        <v>89.1</v>
      </c>
      <c r="J2458" s="7">
        <v>92.5</v>
      </c>
      <c r="K2458" s="7">
        <v>120.75</v>
      </c>
      <c r="L2458" s="7"/>
      <c r="M2458" s="7"/>
      <c r="N2458" s="17"/>
      <c r="P2458" s="17"/>
      <c r="Q2458" s="7">
        <f t="shared" si="205"/>
        <v>0</v>
      </c>
      <c r="R2458" s="109"/>
      <c r="S2458" s="18"/>
      <c r="T2458" s="18"/>
      <c r="U2458" s="109">
        <f t="shared" ref="U2458:U2459" si="206">R2458</f>
        <v>0</v>
      </c>
      <c r="V2458" s="17"/>
      <c r="W2458" s="17"/>
      <c r="X2458" s="17"/>
      <c r="Y2458" s="17"/>
      <c r="Z2458" s="17"/>
    </row>
    <row r="2459" spans="2:26" x14ac:dyDescent="0.3">
      <c r="B2459" s="99">
        <f>B2458+50</f>
        <v>14850</v>
      </c>
      <c r="C2459" s="7">
        <v>31.5</v>
      </c>
      <c r="D2459" s="7">
        <v>28.9</v>
      </c>
      <c r="E2459" s="16"/>
      <c r="F2459" s="7">
        <f t="shared" si="204"/>
        <v>14878.9</v>
      </c>
      <c r="G2459" s="17"/>
      <c r="H2459" s="7">
        <v>44.05</v>
      </c>
      <c r="I2459" s="7">
        <v>62.85</v>
      </c>
      <c r="J2459" s="7">
        <v>64.849999999999994</v>
      </c>
      <c r="K2459" s="7">
        <v>88.5</v>
      </c>
      <c r="L2459" s="7"/>
      <c r="M2459" s="7"/>
      <c r="N2459" s="17"/>
      <c r="P2459" s="17"/>
      <c r="Q2459" s="7">
        <f t="shared" si="205"/>
        <v>0</v>
      </c>
      <c r="R2459" s="109"/>
      <c r="S2459" s="18"/>
      <c r="T2459" s="18"/>
      <c r="U2459" s="109">
        <f t="shared" si="206"/>
        <v>0</v>
      </c>
      <c r="V2459" s="17"/>
      <c r="W2459" s="90" t="s">
        <v>68</v>
      </c>
      <c r="X2459" s="91" t="s">
        <v>69</v>
      </c>
      <c r="Y2459" s="92" t="s">
        <v>70</v>
      </c>
      <c r="Z2459" s="90" t="s">
        <v>68</v>
      </c>
    </row>
    <row r="2460" spans="2:26" x14ac:dyDescent="0.3">
      <c r="B2460" s="5">
        <f>B2459+50</f>
        <v>14900</v>
      </c>
      <c r="C2460" s="7">
        <v>18.3</v>
      </c>
      <c r="D2460" s="7">
        <v>17.100000000000001</v>
      </c>
      <c r="E2460" s="16">
        <f>E2461-(F2461-E2461)</f>
        <v>18.724999999999994</v>
      </c>
      <c r="F2460" s="7">
        <f t="shared" si="204"/>
        <v>14917.1</v>
      </c>
      <c r="G2460" s="16"/>
      <c r="H2460" s="7">
        <v>26.95</v>
      </c>
      <c r="I2460" s="7">
        <v>42.2</v>
      </c>
      <c r="J2460" s="7">
        <v>43.3</v>
      </c>
      <c r="K2460" s="7">
        <v>61.4</v>
      </c>
      <c r="L2460" s="7"/>
      <c r="M2460" s="7"/>
      <c r="N2460" s="17"/>
      <c r="P2460" s="17"/>
      <c r="Q2460" s="7"/>
      <c r="R2460" s="109"/>
      <c r="S2460" s="109"/>
      <c r="T2460" s="114"/>
      <c r="U2460" s="109"/>
      <c r="V2460" s="16"/>
      <c r="W2460" s="66">
        <v>0.41597222222222219</v>
      </c>
      <c r="X2460" s="7">
        <v>50.35</v>
      </c>
      <c r="Y2460" s="7">
        <v>46.6</v>
      </c>
      <c r="Z2460" s="66">
        <v>0.41597222222222219</v>
      </c>
    </row>
    <row r="2461" spans="2:26" x14ac:dyDescent="0.3">
      <c r="B2461" s="17"/>
      <c r="C2461" s="17"/>
      <c r="D2461" s="16"/>
      <c r="E2461" s="16">
        <f>F2461-(G2461-F2461)</f>
        <v>43.55</v>
      </c>
      <c r="F2461" s="16">
        <f>AVERAGE(C2457,C2466)</f>
        <v>68.375</v>
      </c>
      <c r="G2461" s="16">
        <f>AVERAGE(C2456,C2465)</f>
        <v>93.2</v>
      </c>
      <c r="H2461" s="101"/>
      <c r="I2461" s="101"/>
      <c r="J2461" s="101"/>
      <c r="K2461" s="101"/>
      <c r="L2461" s="101"/>
      <c r="M2461" s="101"/>
      <c r="N2461" s="17"/>
      <c r="P2461" s="17"/>
      <c r="Q2461" s="17"/>
      <c r="R2461" s="17"/>
      <c r="S2461" s="17"/>
      <c r="T2461" s="17"/>
      <c r="U2461" s="16"/>
      <c r="V2461" s="16"/>
      <c r="W2461" s="66">
        <v>0.4368055555555555</v>
      </c>
      <c r="X2461" s="7">
        <v>47.45</v>
      </c>
      <c r="Y2461" s="7">
        <v>48.55</v>
      </c>
      <c r="Z2461" s="66">
        <v>0.4368055555555555</v>
      </c>
    </row>
    <row r="2462" spans="2:26" x14ac:dyDescent="0.3">
      <c r="B2462" s="17"/>
      <c r="C2462" s="95">
        <v>44315</v>
      </c>
      <c r="D2462" s="17"/>
      <c r="F2462" s="16"/>
      <c r="H2462" s="66">
        <v>0.50902777777777775</v>
      </c>
      <c r="I2462" s="66">
        <v>0.51736111111111105</v>
      </c>
      <c r="J2462" s="66">
        <v>0.52986111111111112</v>
      </c>
      <c r="K2462" s="66">
        <v>9.4444444444444442E-2</v>
      </c>
      <c r="L2462" s="66"/>
      <c r="M2462" s="66"/>
      <c r="N2462" s="17"/>
      <c r="P2462" s="17"/>
      <c r="Q2462" s="7">
        <f t="shared" ref="Q2462:Q2465" si="207">(U2462*T2462)-(R2462*S2462)</f>
        <v>0</v>
      </c>
      <c r="R2462" s="109"/>
      <c r="S2462" s="7"/>
      <c r="T2462" s="7"/>
      <c r="U2462" s="109">
        <f>R2462</f>
        <v>0</v>
      </c>
      <c r="V2462" s="17"/>
      <c r="W2462" s="66">
        <v>0.45763888888888887</v>
      </c>
      <c r="X2462" s="7">
        <v>57.3</v>
      </c>
      <c r="Y2462" s="7">
        <v>39.75</v>
      </c>
      <c r="Z2462" s="66">
        <v>0.45763888888888887</v>
      </c>
    </row>
    <row r="2463" spans="2:26" x14ac:dyDescent="0.3">
      <c r="B2463" s="90" t="s">
        <v>68</v>
      </c>
      <c r="C2463" s="66">
        <v>0.41666666666666669</v>
      </c>
      <c r="D2463" s="66">
        <v>0.41180555555555554</v>
      </c>
      <c r="E2463" s="16">
        <f>F2463-(G2463-F2463)</f>
        <v>43.55</v>
      </c>
      <c r="F2463" s="16">
        <f>AVERAGE(C2466,C2457)</f>
        <v>68.375</v>
      </c>
      <c r="G2463" s="16">
        <f>AVERAGE(C2465,C2456)</f>
        <v>93.2</v>
      </c>
      <c r="H2463" s="7">
        <v>14785.1</v>
      </c>
      <c r="I2463" s="7">
        <v>14815</v>
      </c>
      <c r="J2463" s="23">
        <v>23.65</v>
      </c>
      <c r="K2463" s="23">
        <v>14.15</v>
      </c>
      <c r="L2463" s="7"/>
      <c r="M2463" s="7"/>
      <c r="N2463" s="17"/>
      <c r="P2463" s="17"/>
      <c r="Q2463" s="7">
        <f t="shared" si="207"/>
        <v>0</v>
      </c>
      <c r="R2463" s="109"/>
      <c r="S2463" s="7"/>
      <c r="T2463" s="7"/>
      <c r="U2463" s="109">
        <f>R2463</f>
        <v>0</v>
      </c>
      <c r="V2463" s="17"/>
      <c r="W2463" s="66">
        <v>0.47847222222222219</v>
      </c>
      <c r="X2463" s="7">
        <v>56.15</v>
      </c>
      <c r="Y2463" s="7">
        <v>38.75</v>
      </c>
      <c r="Z2463" s="66">
        <v>0.47847222222222219</v>
      </c>
    </row>
    <row r="2464" spans="2:26" x14ac:dyDescent="0.3">
      <c r="B2464" s="5">
        <f>B2465+50</f>
        <v>14800</v>
      </c>
      <c r="C2464" s="7">
        <v>109</v>
      </c>
      <c r="D2464" s="7">
        <v>101.85</v>
      </c>
      <c r="E2464" s="16">
        <f>E2463-(F2463-E2463)</f>
        <v>18.724999999999994</v>
      </c>
      <c r="F2464" s="7">
        <f t="shared" ref="F2464:F2469" si="208">B2464-D2464</f>
        <v>14698.15</v>
      </c>
      <c r="G2464" s="16"/>
      <c r="H2464" s="7">
        <v>81.400000000000006</v>
      </c>
      <c r="I2464" s="7">
        <v>74.7</v>
      </c>
      <c r="J2464" s="7">
        <v>61.6</v>
      </c>
      <c r="K2464" s="7">
        <v>41.6</v>
      </c>
      <c r="L2464" s="7"/>
      <c r="M2464" s="7"/>
      <c r="N2464" s="17"/>
      <c r="P2464" s="17"/>
      <c r="Q2464" s="7">
        <f t="shared" si="207"/>
        <v>0</v>
      </c>
      <c r="R2464" s="109"/>
      <c r="S2464" s="18"/>
      <c r="T2464" s="18"/>
      <c r="U2464" s="109"/>
      <c r="V2464" s="16"/>
      <c r="W2464" s="66">
        <v>0.4993055555555555</v>
      </c>
      <c r="X2464" s="7">
        <v>60.4</v>
      </c>
      <c r="Y2464" s="7">
        <v>34.35</v>
      </c>
      <c r="Z2464" s="66">
        <v>0.4993055555555555</v>
      </c>
    </row>
    <row r="2465" spans="2:26" x14ac:dyDescent="0.3">
      <c r="B2465" s="5">
        <f>B2466+50</f>
        <v>14750</v>
      </c>
      <c r="C2465" s="7">
        <v>83</v>
      </c>
      <c r="D2465" s="7">
        <v>77</v>
      </c>
      <c r="E2465" s="16"/>
      <c r="F2465" s="7">
        <f t="shared" si="208"/>
        <v>14673</v>
      </c>
      <c r="G2465" s="17"/>
      <c r="H2465" s="7">
        <v>60.7</v>
      </c>
      <c r="I2465" s="7">
        <v>56</v>
      </c>
      <c r="J2465" s="7">
        <v>44.85</v>
      </c>
      <c r="K2465" s="7">
        <v>28.8</v>
      </c>
      <c r="L2465" s="7"/>
      <c r="M2465" s="7"/>
      <c r="N2465" s="17"/>
      <c r="P2465" s="17"/>
      <c r="Q2465" s="7">
        <f t="shared" si="207"/>
        <v>0</v>
      </c>
      <c r="R2465" s="109"/>
      <c r="S2465" s="18"/>
      <c r="T2465" s="18"/>
      <c r="U2465" s="109"/>
      <c r="V2465" s="16"/>
      <c r="W2465" s="66">
        <v>0.52013888888888882</v>
      </c>
      <c r="X2465" s="7">
        <v>89.55</v>
      </c>
      <c r="Y2465" s="7">
        <v>29.3</v>
      </c>
      <c r="Z2465" s="66">
        <v>0.52013888888888882</v>
      </c>
    </row>
    <row r="2466" spans="2:26" x14ac:dyDescent="0.3">
      <c r="B2466" s="97">
        <v>14700</v>
      </c>
      <c r="C2466" s="7">
        <v>62.7</v>
      </c>
      <c r="D2466" s="7">
        <v>57.8</v>
      </c>
      <c r="E2466" s="16"/>
      <c r="F2466" s="7">
        <f t="shared" si="208"/>
        <v>14642.2</v>
      </c>
      <c r="G2466" s="17"/>
      <c r="H2466" s="7">
        <v>44.6</v>
      </c>
      <c r="I2466" s="7">
        <v>41.6</v>
      </c>
      <c r="J2466" s="7">
        <v>32.5</v>
      </c>
      <c r="K2466" s="7">
        <v>20.2</v>
      </c>
      <c r="L2466" s="7"/>
      <c r="M2466" s="7"/>
      <c r="N2466" s="17"/>
      <c r="P2466" s="17"/>
      <c r="Q2466" s="7">
        <f>SUM(Q2456:Q2465)</f>
        <v>5921.25</v>
      </c>
      <c r="R2466" s="14">
        <f>SUM(R2456:R2465)</f>
        <v>150</v>
      </c>
      <c r="S2466" s="109">
        <f>R2466-U2466</f>
        <v>0</v>
      </c>
      <c r="T2466" s="114" t="e">
        <f>-(Q2466/S2466)</f>
        <v>#DIV/0!</v>
      </c>
      <c r="U2466" s="14">
        <f>SUM(U2456:U2465)</f>
        <v>150</v>
      </c>
      <c r="V2466" s="17"/>
      <c r="W2466" s="66">
        <v>0.54097222222222219</v>
      </c>
      <c r="X2466" s="7">
        <v>99.55</v>
      </c>
      <c r="Y2466" s="7">
        <v>24.6</v>
      </c>
      <c r="Z2466" s="66">
        <v>0.54097222222222219</v>
      </c>
    </row>
    <row r="2467" spans="2:26" x14ac:dyDescent="0.3">
      <c r="B2467" s="14">
        <f>B2466-50</f>
        <v>14650</v>
      </c>
      <c r="C2467" s="51">
        <v>46.6</v>
      </c>
      <c r="D2467" s="23">
        <v>43.2</v>
      </c>
      <c r="E2467" s="16"/>
      <c r="F2467" s="98">
        <f t="shared" si="208"/>
        <v>14606.8</v>
      </c>
      <c r="G2467" s="17"/>
      <c r="H2467" s="7">
        <v>32.85</v>
      </c>
      <c r="I2467" s="7">
        <v>31.15</v>
      </c>
      <c r="J2467" s="7">
        <v>23.9</v>
      </c>
      <c r="K2467" s="7">
        <v>14.7</v>
      </c>
      <c r="L2467" s="7"/>
      <c r="M2467" s="7"/>
      <c r="N2467" s="17"/>
      <c r="P2467" s="17"/>
      <c r="Q2467" s="17"/>
      <c r="R2467" s="17"/>
      <c r="S2467" s="17"/>
      <c r="T2467" s="17"/>
      <c r="U2467" s="17"/>
      <c r="V2467" s="17"/>
      <c r="W2467" s="66">
        <v>6.1805555555555558E-2</v>
      </c>
      <c r="X2467" s="7">
        <v>106.55</v>
      </c>
      <c r="Y2467" s="7">
        <v>22.95</v>
      </c>
      <c r="Z2467" s="66">
        <v>6.1805555555555558E-2</v>
      </c>
    </row>
    <row r="2468" spans="2:26" x14ac:dyDescent="0.3">
      <c r="B2468" s="99">
        <f>B2467-50</f>
        <v>14600</v>
      </c>
      <c r="C2468" s="7">
        <v>34.75</v>
      </c>
      <c r="D2468" s="7">
        <v>32.1</v>
      </c>
      <c r="E2468" s="16"/>
      <c r="F2468" s="7">
        <f t="shared" si="208"/>
        <v>14567.9</v>
      </c>
      <c r="G2468" s="17"/>
      <c r="H2468" s="7">
        <v>24.55</v>
      </c>
      <c r="I2468" s="7">
        <v>23.65</v>
      </c>
      <c r="J2468" s="7">
        <v>18.100000000000001</v>
      </c>
      <c r="K2468" s="7">
        <v>11.45</v>
      </c>
      <c r="L2468" s="7"/>
      <c r="M2468" s="7"/>
      <c r="N2468" s="17"/>
      <c r="P2468" s="17"/>
      <c r="Q2468" s="17"/>
      <c r="R2468" s="17"/>
      <c r="S2468" s="17"/>
      <c r="T2468" s="17"/>
      <c r="U2468" s="17"/>
      <c r="V2468" s="17"/>
      <c r="W2468" s="66">
        <v>8.2638888888888887E-2</v>
      </c>
      <c r="X2468" s="7">
        <v>116.85</v>
      </c>
      <c r="Y2468" s="7">
        <v>18</v>
      </c>
      <c r="Z2468" s="66">
        <v>8.2638888888888887E-2</v>
      </c>
    </row>
    <row r="2469" spans="2:26" x14ac:dyDescent="0.3">
      <c r="B2469" s="5">
        <f>B2468-50</f>
        <v>14550</v>
      </c>
      <c r="C2469" s="7">
        <v>26.3</v>
      </c>
      <c r="D2469" s="7">
        <v>24.35</v>
      </c>
      <c r="E2469" s="16"/>
      <c r="F2469" s="7">
        <f t="shared" si="208"/>
        <v>14525.65</v>
      </c>
      <c r="G2469" s="16">
        <f>AVERAGE(I2458,I2469)</f>
        <v>53.774999999999999</v>
      </c>
      <c r="H2469" s="7">
        <v>18.850000000000001</v>
      </c>
      <c r="I2469" s="7">
        <v>18.45</v>
      </c>
      <c r="J2469" s="7">
        <v>14.15</v>
      </c>
      <c r="K2469" s="7">
        <v>9.35</v>
      </c>
      <c r="L2469" s="7"/>
      <c r="M2469" s="7"/>
      <c r="N2469" s="17"/>
      <c r="P2469" s="98">
        <f>Q2466</f>
        <v>5921.25</v>
      </c>
      <c r="Q2469" s="92" t="s">
        <v>72</v>
      </c>
      <c r="R2469" s="17"/>
      <c r="T2469" s="92" t="s">
        <v>73</v>
      </c>
      <c r="U2469" s="7">
        <f>((X2461+Y2461)-(X2469+Y2469))</f>
        <v>3.9500000000000028</v>
      </c>
      <c r="V2469" s="98">
        <f>U2469*M2450*2</f>
        <v>592.50000000000045</v>
      </c>
      <c r="W2469" s="66">
        <v>0.52986111111111112</v>
      </c>
      <c r="X2469" s="7">
        <v>24.55</v>
      </c>
      <c r="Y2469" s="23">
        <v>67.5</v>
      </c>
      <c r="Z2469" s="66">
        <v>0.50902777777777775</v>
      </c>
    </row>
    <row r="2481" spans="2:26" x14ac:dyDescent="0.3">
      <c r="B2481" s="40"/>
      <c r="C2481" s="50">
        <f>AVERAGE(B2482,D2481)</f>
        <v>14977.3</v>
      </c>
      <c r="D2481" s="51">
        <f>B2482+E2482</f>
        <v>15032.3</v>
      </c>
      <c r="E2481" s="50">
        <f>AVERAGE(D2481,F2481)</f>
        <v>15087.3</v>
      </c>
      <c r="F2481" s="50">
        <f>D2481+E2482</f>
        <v>15142.3</v>
      </c>
      <c r="G2481" s="17"/>
      <c r="H2481" s="88" t="str">
        <f>IF((C2490-D2490)&gt;(C2499-D2499),"LONG",IF(C2499&gt;D2497,"LONG","SHORT"))</f>
        <v>LONG</v>
      </c>
      <c r="I2481" s="104">
        <v>14951</v>
      </c>
      <c r="J2481" s="105" t="s">
        <v>122</v>
      </c>
      <c r="K2481" s="106">
        <v>14901</v>
      </c>
      <c r="L2481" s="17"/>
      <c r="M2481" s="115">
        <f>900*(AVERAGE(AVERAGE(F2494,F2496),AVERAGE(E2497,E2493)))</f>
        <v>90123.75</v>
      </c>
      <c r="N2481" s="17"/>
      <c r="Q2481" s="153" t="s">
        <v>71</v>
      </c>
      <c r="R2481" s="154"/>
      <c r="S2481" s="153" t="s">
        <v>37</v>
      </c>
      <c r="T2481" s="154"/>
      <c r="U2481" s="17"/>
      <c r="V2481" s="17"/>
      <c r="W2481" s="90" t="s">
        <v>68</v>
      </c>
      <c r="X2481" s="91" t="s">
        <v>69</v>
      </c>
      <c r="Y2481" s="92" t="s">
        <v>70</v>
      </c>
      <c r="Z2481" s="90" t="s">
        <v>68</v>
      </c>
    </row>
    <row r="2482" spans="2:26" x14ac:dyDescent="0.3">
      <c r="B2482" s="50">
        <v>14922.3</v>
      </c>
      <c r="C2482" s="40"/>
      <c r="D2482" s="58"/>
      <c r="E2482" s="59">
        <f>ROUND((((B2482*F2482%)/4)/10),0)*10</f>
        <v>110</v>
      </c>
      <c r="F2482" s="51">
        <f>(100/B2482)*(F2491-F2500)</f>
        <v>3.05046809138002</v>
      </c>
      <c r="G2482" s="17"/>
      <c r="H2482" s="93">
        <v>0.39166666666666666</v>
      </c>
      <c r="I2482" s="93">
        <v>0.39861111111111108</v>
      </c>
      <c r="J2482" s="93">
        <v>0.4055555555555555</v>
      </c>
      <c r="K2482" s="93">
        <v>0.41250000000000003</v>
      </c>
      <c r="M2482">
        <v>36000</v>
      </c>
      <c r="N2482" s="17"/>
      <c r="Q2482" s="51">
        <f>R2482-(S2482-R2482)</f>
        <v>13664</v>
      </c>
      <c r="R2482" s="51">
        <v>14262</v>
      </c>
      <c r="S2482" s="51">
        <v>14860</v>
      </c>
      <c r="T2482" s="51">
        <f>S2482+(S2482-R2482)</f>
        <v>15458</v>
      </c>
      <c r="U2482" s="17"/>
      <c r="V2482" s="17"/>
      <c r="W2482" s="66">
        <v>0.41597222222222219</v>
      </c>
      <c r="X2482" s="7">
        <v>170</v>
      </c>
      <c r="Y2482" s="7">
        <v>164.3</v>
      </c>
      <c r="Z2482" s="66">
        <v>0.41597222222222219</v>
      </c>
    </row>
    <row r="2483" spans="2:26" x14ac:dyDescent="0.3">
      <c r="B2483" s="40"/>
      <c r="C2483" s="50">
        <f>AVERAGE(B2482,D2483)</f>
        <v>14867.3</v>
      </c>
      <c r="D2483" s="51">
        <f>B2482-E2482</f>
        <v>14812.3</v>
      </c>
      <c r="E2483" s="50">
        <f>AVERAGE(D2483,F2483)</f>
        <v>14757.3</v>
      </c>
      <c r="F2483" s="50">
        <f>D2483-E2482</f>
        <v>14702.3</v>
      </c>
      <c r="G2483" s="17"/>
      <c r="H2483" s="51">
        <v>15028</v>
      </c>
      <c r="I2483" s="51">
        <v>15019.2</v>
      </c>
      <c r="J2483" s="51">
        <v>15006.5</v>
      </c>
      <c r="K2483" s="51">
        <v>14945.55</v>
      </c>
      <c r="L2483" s="17"/>
      <c r="M2483">
        <f>ROUND((M2482/375)/75,0)*75</f>
        <v>75</v>
      </c>
      <c r="N2483" s="17"/>
      <c r="Q2483" s="17"/>
      <c r="R2483" s="17"/>
      <c r="S2483" s="17"/>
      <c r="T2483" s="16"/>
      <c r="U2483" s="17"/>
      <c r="V2483" s="17"/>
      <c r="W2483" s="66">
        <v>0.4368055555555555</v>
      </c>
      <c r="X2483" s="7">
        <v>170.9</v>
      </c>
      <c r="Y2483" s="7">
        <v>176</v>
      </c>
      <c r="Z2483" s="66">
        <v>0.4368055555555555</v>
      </c>
    </row>
    <row r="2484" spans="2:26" x14ac:dyDescent="0.3">
      <c r="B2484" s="17"/>
      <c r="C2484" s="17"/>
      <c r="D2484" s="17"/>
      <c r="E2484" s="17"/>
      <c r="F2484" s="16"/>
      <c r="G2484" s="16"/>
      <c r="H2484" s="17"/>
      <c r="I2484" s="17"/>
      <c r="J2484" s="17"/>
      <c r="K2484" s="16"/>
      <c r="L2484" s="17"/>
      <c r="M2484" s="17"/>
      <c r="N2484" s="17"/>
      <c r="Q2484" s="17"/>
      <c r="R2484" s="17"/>
      <c r="S2484" s="17"/>
      <c r="T2484" s="17"/>
      <c r="U2484" s="17"/>
      <c r="V2484" s="17"/>
      <c r="W2484" s="66">
        <v>0.45763888888888887</v>
      </c>
      <c r="X2484" s="7">
        <v>137.85</v>
      </c>
      <c r="Y2484" s="7">
        <v>214.35</v>
      </c>
      <c r="Z2484" s="66">
        <v>0.45763888888888887</v>
      </c>
    </row>
    <row r="2485" spans="2:26" x14ac:dyDescent="0.3">
      <c r="B2485" s="16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Q2485" s="17"/>
      <c r="R2485" s="17"/>
      <c r="S2485" s="17"/>
      <c r="T2485" s="17"/>
      <c r="U2485" s="17"/>
      <c r="V2485" s="17"/>
      <c r="W2485" s="66">
        <v>0.47847222222222219</v>
      </c>
      <c r="X2485" s="7">
        <v>158.05000000000001</v>
      </c>
      <c r="Y2485" s="7">
        <v>185.55</v>
      </c>
      <c r="Z2485" s="66">
        <v>0.47847222222222219</v>
      </c>
    </row>
    <row r="2486" spans="2:26" x14ac:dyDescent="0.3">
      <c r="B2486" s="17"/>
      <c r="C2486" s="95">
        <v>44315</v>
      </c>
      <c r="D2486" s="17"/>
      <c r="E2486" s="17"/>
      <c r="F2486" s="7">
        <f>AVERAGE(F2488,F2497)</f>
        <v>14952.75</v>
      </c>
      <c r="G2486" s="96"/>
      <c r="H2486" s="66">
        <v>0.44166666666666665</v>
      </c>
      <c r="I2486" s="66">
        <v>0.45</v>
      </c>
      <c r="J2486" s="66">
        <v>0.47361111111111115</v>
      </c>
      <c r="K2486" s="66"/>
      <c r="L2486" s="66"/>
      <c r="M2486" s="66">
        <v>0.13541666666666666</v>
      </c>
      <c r="N2486" s="17"/>
      <c r="Q2486" s="17"/>
      <c r="R2486" s="17"/>
      <c r="S2486" s="17"/>
      <c r="T2486" s="17"/>
      <c r="U2486" s="17"/>
      <c r="V2486" s="17"/>
      <c r="W2486" s="66">
        <v>0.4993055555555555</v>
      </c>
      <c r="X2486" s="7">
        <v>151.30000000000001</v>
      </c>
      <c r="Y2486" s="7">
        <v>190</v>
      </c>
      <c r="Z2486" s="66">
        <v>0.4993055555555555</v>
      </c>
    </row>
    <row r="2487" spans="2:26" x14ac:dyDescent="0.3">
      <c r="B2487" s="90" t="s">
        <v>68</v>
      </c>
      <c r="C2487" s="66">
        <v>0.41666666666666669</v>
      </c>
      <c r="D2487" s="66">
        <v>0.4152777777777778</v>
      </c>
      <c r="E2487" s="17"/>
      <c r="F2487" s="17"/>
      <c r="G2487" s="17"/>
      <c r="H2487" s="7">
        <v>14886.65</v>
      </c>
      <c r="I2487" s="7">
        <v>14851.95</v>
      </c>
      <c r="J2487" s="7">
        <v>14894.5</v>
      </c>
      <c r="K2487" s="7"/>
      <c r="L2487" s="7"/>
      <c r="M2487" s="7">
        <v>14895</v>
      </c>
      <c r="N2487" s="17"/>
      <c r="Q2487" s="150" t="s">
        <v>72</v>
      </c>
      <c r="R2487" s="151"/>
      <c r="S2487" s="151"/>
      <c r="T2487" s="151"/>
      <c r="U2487" s="152"/>
      <c r="V2487" s="17"/>
      <c r="W2487" s="66">
        <v>0.52013888888888882</v>
      </c>
      <c r="X2487" s="7">
        <v>168.85</v>
      </c>
      <c r="Y2487" s="7">
        <v>179</v>
      </c>
      <c r="Z2487" s="66">
        <v>0.52013888888888882</v>
      </c>
    </row>
    <row r="2488" spans="2:26" x14ac:dyDescent="0.3">
      <c r="B2488" s="5">
        <f>B2489-50</f>
        <v>14900</v>
      </c>
      <c r="C2488" s="7">
        <v>198.5</v>
      </c>
      <c r="D2488" s="7">
        <v>190.65</v>
      </c>
      <c r="E2488" s="16"/>
      <c r="F2488" s="7">
        <f t="shared" ref="F2488:F2493" si="209">B2488+D2488</f>
        <v>15090.65</v>
      </c>
      <c r="G2488" s="17"/>
      <c r="H2488" s="7">
        <v>184.9</v>
      </c>
      <c r="I2488" s="7">
        <v>169.4</v>
      </c>
      <c r="J2488" s="7">
        <v>183.9</v>
      </c>
      <c r="K2488" s="7"/>
      <c r="L2488" s="7"/>
      <c r="M2488" s="7">
        <v>179.35</v>
      </c>
      <c r="N2488" s="17"/>
      <c r="Q2488" s="34"/>
      <c r="R2488" s="34" t="s">
        <v>111</v>
      </c>
      <c r="S2488" s="34" t="s">
        <v>2</v>
      </c>
      <c r="T2488" s="34" t="s">
        <v>1</v>
      </c>
      <c r="U2488" s="34" t="s">
        <v>111</v>
      </c>
      <c r="V2488" s="17"/>
      <c r="W2488" s="66">
        <v>0.54097222222222219</v>
      </c>
      <c r="X2488" s="7">
        <v>183.35</v>
      </c>
      <c r="Y2488" s="7">
        <v>166.5</v>
      </c>
      <c r="Z2488" s="66">
        <v>0.54097222222222219</v>
      </c>
    </row>
    <row r="2489" spans="2:26" x14ac:dyDescent="0.3">
      <c r="B2489" s="5">
        <f>B2490-50</f>
        <v>14950</v>
      </c>
      <c r="C2489" s="7">
        <v>170</v>
      </c>
      <c r="D2489" s="7">
        <v>163.80000000000001</v>
      </c>
      <c r="E2489" s="16"/>
      <c r="F2489" s="7">
        <f t="shared" si="209"/>
        <v>15113.8</v>
      </c>
      <c r="G2489" s="17"/>
      <c r="H2489" s="7">
        <v>159.9</v>
      </c>
      <c r="I2489" s="7">
        <v>145.4</v>
      </c>
      <c r="J2489" s="7">
        <v>158.80000000000001</v>
      </c>
      <c r="K2489" s="7"/>
      <c r="L2489" s="7"/>
      <c r="M2489" s="7">
        <v>153.85</v>
      </c>
      <c r="P2489" s="17"/>
      <c r="Q2489" s="7">
        <f>(U2489*T2489)-(R2489*S2489)</f>
        <v>1140</v>
      </c>
      <c r="R2489" s="109">
        <v>75</v>
      </c>
      <c r="S2489" s="7">
        <v>129.55000000000001</v>
      </c>
      <c r="T2489" s="18">
        <v>144.75</v>
      </c>
      <c r="U2489" s="109">
        <f>R2489</f>
        <v>75</v>
      </c>
      <c r="V2489" s="17"/>
      <c r="W2489" s="66">
        <v>6.1805555555555558E-2</v>
      </c>
      <c r="X2489" s="7">
        <v>181.35</v>
      </c>
      <c r="Y2489" s="7">
        <v>165.6</v>
      </c>
      <c r="Z2489" s="66">
        <v>6.1805555555555558E-2</v>
      </c>
    </row>
    <row r="2490" spans="2:26" x14ac:dyDescent="0.3">
      <c r="B2490" s="97">
        <v>15000</v>
      </c>
      <c r="C2490" s="7">
        <v>143.80000000000001</v>
      </c>
      <c r="D2490" s="7">
        <v>137.19999999999999</v>
      </c>
      <c r="E2490" s="16"/>
      <c r="F2490" s="7">
        <f t="shared" si="209"/>
        <v>15137.2</v>
      </c>
      <c r="G2490" s="17"/>
      <c r="H2490" s="7">
        <v>135.9</v>
      </c>
      <c r="I2490" s="7">
        <v>123.95</v>
      </c>
      <c r="J2490" s="7">
        <v>134.25</v>
      </c>
      <c r="K2490" s="7"/>
      <c r="L2490" s="7"/>
      <c r="M2490" s="7">
        <v>130</v>
      </c>
      <c r="P2490" s="17"/>
      <c r="Q2490" s="7">
        <f t="shared" ref="Q2490:Q2492" si="210">(U2490*T2490)-(R2490*S2490)</f>
        <v>-678.75</v>
      </c>
      <c r="R2490" s="109">
        <v>75</v>
      </c>
      <c r="S2490" s="7">
        <v>129.55000000000001</v>
      </c>
      <c r="T2490" s="18">
        <v>120.5</v>
      </c>
      <c r="U2490" s="109">
        <f t="shared" ref="U2490:U2492" si="211">R2490</f>
        <v>75</v>
      </c>
      <c r="V2490" s="17"/>
      <c r="W2490" s="66">
        <v>8.2638888888888887E-2</v>
      </c>
      <c r="X2490" s="7">
        <v>160.55000000000001</v>
      </c>
      <c r="Y2490" s="7">
        <v>126.25</v>
      </c>
      <c r="Z2490" s="66">
        <v>8.2638888888888887E-2</v>
      </c>
    </row>
    <row r="2491" spans="2:26" x14ac:dyDescent="0.3">
      <c r="B2491" s="5">
        <f>B2490+50</f>
        <v>15050</v>
      </c>
      <c r="C2491" s="7">
        <v>120.45</v>
      </c>
      <c r="D2491" s="23">
        <v>115.2</v>
      </c>
      <c r="E2491" s="16"/>
      <c r="F2491" s="98">
        <f t="shared" si="209"/>
        <v>15165.2</v>
      </c>
      <c r="G2491" s="17"/>
      <c r="H2491" s="7">
        <v>114.45</v>
      </c>
      <c r="I2491" s="7">
        <v>103.8</v>
      </c>
      <c r="J2491" s="7">
        <v>113.25</v>
      </c>
      <c r="K2491" s="7"/>
      <c r="L2491" s="7"/>
      <c r="M2491" s="7">
        <v>109.05</v>
      </c>
      <c r="N2491" s="17"/>
      <c r="P2491" s="17"/>
      <c r="Q2491" s="7">
        <f t="shared" si="210"/>
        <v>0</v>
      </c>
      <c r="R2491" s="109"/>
      <c r="S2491" s="18"/>
      <c r="T2491" s="18"/>
      <c r="U2491" s="109">
        <f t="shared" si="211"/>
        <v>0</v>
      </c>
      <c r="V2491" s="17"/>
      <c r="W2491" s="17"/>
      <c r="X2491" s="17"/>
      <c r="Y2491" s="17"/>
      <c r="Z2491" s="17"/>
    </row>
    <row r="2492" spans="2:26" x14ac:dyDescent="0.3">
      <c r="B2492" s="99">
        <f>B2491+50</f>
        <v>15100</v>
      </c>
      <c r="C2492" s="51">
        <v>99.4</v>
      </c>
      <c r="D2492" s="7">
        <v>94.3</v>
      </c>
      <c r="E2492" s="16"/>
      <c r="F2492" s="7">
        <f t="shared" si="209"/>
        <v>15194.3</v>
      </c>
      <c r="G2492" s="17"/>
      <c r="H2492" s="7">
        <v>94.95</v>
      </c>
      <c r="I2492" s="7">
        <v>85.5</v>
      </c>
      <c r="J2492" s="7">
        <v>94</v>
      </c>
      <c r="K2492" s="7"/>
      <c r="L2492" s="7"/>
      <c r="M2492" s="7">
        <v>89.75</v>
      </c>
      <c r="N2492" s="17"/>
      <c r="P2492" s="17"/>
      <c r="Q2492" s="7">
        <f t="shared" si="210"/>
        <v>0</v>
      </c>
      <c r="R2492" s="109"/>
      <c r="S2492" s="18"/>
      <c r="T2492" s="18"/>
      <c r="U2492" s="109">
        <f t="shared" si="211"/>
        <v>0</v>
      </c>
      <c r="V2492" s="17"/>
      <c r="W2492" s="90" t="s">
        <v>68</v>
      </c>
      <c r="X2492" s="91" t="s">
        <v>69</v>
      </c>
      <c r="Y2492" s="92" t="s">
        <v>70</v>
      </c>
      <c r="Z2492" s="90" t="s">
        <v>68</v>
      </c>
    </row>
    <row r="2493" spans="2:26" x14ac:dyDescent="0.3">
      <c r="B2493" s="5">
        <f>B2492+50</f>
        <v>15150</v>
      </c>
      <c r="C2493" s="7">
        <v>81</v>
      </c>
      <c r="D2493" s="7">
        <v>75.849999999999994</v>
      </c>
      <c r="E2493" s="16">
        <f>E2494-(F2494-E2494)</f>
        <v>77.875</v>
      </c>
      <c r="F2493" s="7">
        <f t="shared" si="209"/>
        <v>15225.85</v>
      </c>
      <c r="G2493" s="16"/>
      <c r="H2493" s="7">
        <v>77.75</v>
      </c>
      <c r="I2493" s="7">
        <v>70.349999999999994</v>
      </c>
      <c r="J2493" s="7">
        <v>77.599999999999994</v>
      </c>
      <c r="K2493" s="7"/>
      <c r="L2493" s="7"/>
      <c r="M2493" s="7">
        <v>73.55</v>
      </c>
      <c r="N2493" s="17"/>
      <c r="P2493" s="17"/>
      <c r="Q2493" s="7"/>
      <c r="R2493" s="109"/>
      <c r="S2493" s="109"/>
      <c r="T2493" s="114"/>
      <c r="U2493" s="109"/>
      <c r="V2493" s="17"/>
      <c r="W2493" s="66">
        <v>0.41597222222222219</v>
      </c>
      <c r="X2493" s="7">
        <v>99.4</v>
      </c>
      <c r="Y2493" s="7">
        <v>112.3</v>
      </c>
      <c r="Z2493" s="66">
        <v>0.41597222222222219</v>
      </c>
    </row>
    <row r="2494" spans="2:26" x14ac:dyDescent="0.3">
      <c r="B2494" s="17"/>
      <c r="C2494" s="17"/>
      <c r="D2494" s="16"/>
      <c r="E2494" s="16">
        <f>F2494-(G2494-F2494)</f>
        <v>97.125</v>
      </c>
      <c r="F2494" s="16">
        <f>AVERAGE(C2491,C2501)</f>
        <v>116.375</v>
      </c>
      <c r="G2494" s="16">
        <f>AVERAGE(C2490,C2500)</f>
        <v>135.625</v>
      </c>
      <c r="H2494" s="101"/>
      <c r="I2494" s="101"/>
      <c r="J2494" s="101"/>
      <c r="K2494" s="101"/>
      <c r="L2494" s="101"/>
      <c r="M2494" s="101"/>
      <c r="N2494" s="17"/>
      <c r="P2494" s="17"/>
      <c r="Q2494" s="17"/>
      <c r="R2494" s="17"/>
      <c r="S2494" s="17"/>
      <c r="T2494" s="17"/>
      <c r="U2494" s="16"/>
      <c r="V2494" s="16"/>
      <c r="W2494" s="66">
        <v>0.4368055555555555</v>
      </c>
      <c r="X2494" s="7">
        <v>102.75</v>
      </c>
      <c r="Y2494" s="7">
        <v>120</v>
      </c>
      <c r="Z2494" s="66">
        <v>0.4368055555555555</v>
      </c>
    </row>
    <row r="2495" spans="2:26" x14ac:dyDescent="0.3">
      <c r="B2495" s="17"/>
      <c r="C2495" s="95">
        <v>44315</v>
      </c>
      <c r="D2495" s="17"/>
      <c r="F2495" s="16"/>
      <c r="H2495" s="66">
        <v>0.44166666666666665</v>
      </c>
      <c r="I2495" s="66">
        <v>0.45</v>
      </c>
      <c r="J2495" s="66">
        <v>0.47361111111111115</v>
      </c>
      <c r="K2495" s="66"/>
      <c r="L2495" s="66"/>
      <c r="M2495" s="66">
        <v>0.13541666666666666</v>
      </c>
      <c r="N2495" s="17"/>
      <c r="P2495" s="17"/>
      <c r="Q2495" s="7">
        <f t="shared" ref="Q2495:Q2498" si="212">(U2495*T2495)-(R2495*S2495)</f>
        <v>0</v>
      </c>
      <c r="R2495" s="109"/>
      <c r="S2495" s="7"/>
      <c r="T2495" s="7"/>
      <c r="U2495" s="109">
        <f>R2495</f>
        <v>0</v>
      </c>
      <c r="V2495" s="17"/>
      <c r="W2495" s="66">
        <v>0.45763888888888887</v>
      </c>
      <c r="X2495" s="7">
        <v>80.25</v>
      </c>
      <c r="Y2495" s="7">
        <v>148.4</v>
      </c>
      <c r="Z2495" s="66">
        <v>0.45763888888888887</v>
      </c>
    </row>
    <row r="2496" spans="2:26" x14ac:dyDescent="0.3">
      <c r="B2496" s="90" t="s">
        <v>68</v>
      </c>
      <c r="C2496" s="66">
        <v>0.41666666666666669</v>
      </c>
      <c r="D2496" s="66">
        <v>0.3923611111111111</v>
      </c>
      <c r="E2496" s="16">
        <f>F2496-(G2496-F2496)</f>
        <v>103.15</v>
      </c>
      <c r="F2496" s="16">
        <f>AVERAGE(C2500,C2491)</f>
        <v>123.95</v>
      </c>
      <c r="G2496" s="16">
        <f>AVERAGE(C2499,C2490)</f>
        <v>144.75</v>
      </c>
      <c r="H2496" s="23">
        <v>123.95</v>
      </c>
      <c r="I2496" s="23">
        <v>144.75</v>
      </c>
      <c r="J2496" s="23">
        <v>120.5</v>
      </c>
      <c r="K2496" s="7"/>
      <c r="L2496" s="7"/>
      <c r="M2496" s="7">
        <v>14895</v>
      </c>
      <c r="N2496" s="17"/>
      <c r="P2496" s="17"/>
      <c r="Q2496" s="7">
        <f t="shared" si="212"/>
        <v>0</v>
      </c>
      <c r="R2496" s="109"/>
      <c r="S2496" s="7"/>
      <c r="T2496" s="7"/>
      <c r="U2496" s="109">
        <f>R2496</f>
        <v>0</v>
      </c>
      <c r="V2496" s="17"/>
      <c r="W2496" s="66">
        <v>0.47847222222222219</v>
      </c>
      <c r="X2496" s="7">
        <v>94.2</v>
      </c>
      <c r="Y2496" s="7">
        <v>124.55</v>
      </c>
      <c r="Z2496" s="66">
        <v>0.47847222222222219</v>
      </c>
    </row>
    <row r="2497" spans="2:26" x14ac:dyDescent="0.3">
      <c r="B2497" s="5">
        <f>B2498+50</f>
        <v>14950</v>
      </c>
      <c r="C2497" s="7">
        <v>186.85</v>
      </c>
      <c r="D2497" s="7">
        <v>135.15</v>
      </c>
      <c r="E2497" s="16">
        <f>E2496-(F2496-E2496)</f>
        <v>82.350000000000009</v>
      </c>
      <c r="F2497" s="7">
        <f t="shared" ref="F2497:F2502" si="213">B2497-D2497</f>
        <v>14814.85</v>
      </c>
      <c r="G2497" s="16"/>
      <c r="H2497" s="7">
        <v>213.05</v>
      </c>
      <c r="I2497" s="7">
        <v>234.85</v>
      </c>
      <c r="J2497" s="7">
        <v>205.95</v>
      </c>
      <c r="K2497" s="7"/>
      <c r="L2497" s="7"/>
      <c r="M2497" s="7">
        <v>208</v>
      </c>
      <c r="N2497" s="17"/>
      <c r="P2497" s="17"/>
      <c r="Q2497" s="7">
        <f t="shared" si="212"/>
        <v>0</v>
      </c>
      <c r="R2497" s="109"/>
      <c r="S2497" s="18"/>
      <c r="T2497" s="18"/>
      <c r="U2497" s="109"/>
      <c r="V2497" s="16"/>
      <c r="W2497" s="66">
        <v>0.4993055555555555</v>
      </c>
      <c r="X2497" s="7">
        <v>89</v>
      </c>
      <c r="Y2497" s="7">
        <v>129.55000000000001</v>
      </c>
      <c r="Z2497" s="66">
        <v>0.4993055555555555</v>
      </c>
    </row>
    <row r="2498" spans="2:26" x14ac:dyDescent="0.3">
      <c r="B2498" s="5">
        <f>B2499+50</f>
        <v>14900</v>
      </c>
      <c r="C2498" s="7">
        <v>164.3</v>
      </c>
      <c r="D2498" s="7">
        <v>118.05</v>
      </c>
      <c r="E2498" s="16"/>
      <c r="F2498" s="7">
        <f t="shared" si="213"/>
        <v>14781.95</v>
      </c>
      <c r="G2498" s="17"/>
      <c r="H2498" s="7">
        <v>189</v>
      </c>
      <c r="I2498" s="7">
        <v>210.15</v>
      </c>
      <c r="J2498" s="7">
        <v>183.95</v>
      </c>
      <c r="K2498" s="7"/>
      <c r="L2498" s="7"/>
      <c r="M2498" s="7">
        <v>183.9</v>
      </c>
      <c r="N2498" s="17"/>
      <c r="P2498" s="17"/>
      <c r="Q2498" s="7">
        <f t="shared" si="212"/>
        <v>0</v>
      </c>
      <c r="R2498" s="109"/>
      <c r="S2498" s="18"/>
      <c r="T2498" s="18"/>
      <c r="U2498" s="109"/>
      <c r="V2498" s="16"/>
      <c r="W2498" s="66">
        <v>0.52013888888888882</v>
      </c>
      <c r="X2498" s="7">
        <v>102</v>
      </c>
      <c r="Y2498" s="7">
        <v>121.45</v>
      </c>
      <c r="Z2498" s="66">
        <v>0.52013888888888882</v>
      </c>
    </row>
    <row r="2499" spans="2:26" x14ac:dyDescent="0.3">
      <c r="B2499" s="97">
        <v>14850</v>
      </c>
      <c r="C2499" s="7">
        <v>145.69999999999999</v>
      </c>
      <c r="D2499" s="7">
        <v>104.05</v>
      </c>
      <c r="E2499" s="16"/>
      <c r="F2499" s="7">
        <f t="shared" si="213"/>
        <v>14745.95</v>
      </c>
      <c r="G2499" s="17"/>
      <c r="H2499" s="7">
        <v>167.1</v>
      </c>
      <c r="I2499" s="7">
        <v>186.2</v>
      </c>
      <c r="J2499" s="7">
        <v>161.44999999999999</v>
      </c>
      <c r="K2499" s="7"/>
      <c r="L2499" s="7"/>
      <c r="M2499" s="7">
        <v>161.25</v>
      </c>
      <c r="N2499" s="17"/>
      <c r="P2499" s="17"/>
      <c r="Q2499" s="7">
        <f>SUM(Q2489:Q2498)</f>
        <v>461.25</v>
      </c>
      <c r="R2499" s="14">
        <f>SUM(R2489:R2498)</f>
        <v>150</v>
      </c>
      <c r="S2499" s="109">
        <f>R2499-U2499</f>
        <v>0</v>
      </c>
      <c r="T2499" s="114" t="e">
        <f>Q2499/S2499</f>
        <v>#DIV/0!</v>
      </c>
      <c r="U2499" s="14">
        <f>SUM(U2489:U2498)</f>
        <v>150</v>
      </c>
      <c r="V2499" s="17"/>
      <c r="W2499" s="66">
        <v>0.54097222222222219</v>
      </c>
      <c r="X2499" s="7">
        <v>112.95</v>
      </c>
      <c r="Y2499" s="7">
        <v>112.15</v>
      </c>
      <c r="Z2499" s="66">
        <v>0.54097222222222219</v>
      </c>
    </row>
    <row r="2500" spans="2:26" x14ac:dyDescent="0.3">
      <c r="B2500" s="14">
        <f>B2499-50</f>
        <v>14800</v>
      </c>
      <c r="C2500" s="7">
        <v>127.45</v>
      </c>
      <c r="D2500" s="7">
        <v>90</v>
      </c>
      <c r="E2500" s="16"/>
      <c r="F2500" s="98">
        <f t="shared" si="213"/>
        <v>14710</v>
      </c>
      <c r="G2500" s="17"/>
      <c r="H2500" s="7">
        <v>146.80000000000001</v>
      </c>
      <c r="I2500" s="7">
        <v>164.15</v>
      </c>
      <c r="J2500" s="7">
        <v>141.25</v>
      </c>
      <c r="K2500" s="7"/>
      <c r="L2500" s="7"/>
      <c r="M2500" s="7">
        <v>142</v>
      </c>
      <c r="N2500" s="17"/>
      <c r="P2500" s="17"/>
      <c r="Q2500" s="17"/>
      <c r="R2500" s="17"/>
      <c r="S2500" s="17"/>
      <c r="T2500" s="17"/>
      <c r="U2500" s="17"/>
      <c r="V2500" s="17"/>
      <c r="W2500" s="66">
        <v>6.1805555555555558E-2</v>
      </c>
      <c r="X2500" s="7">
        <v>110.8</v>
      </c>
      <c r="Y2500" s="7">
        <v>112.2</v>
      </c>
      <c r="Z2500" s="66">
        <v>6.1805555555555558E-2</v>
      </c>
    </row>
    <row r="2501" spans="2:26" x14ac:dyDescent="0.3">
      <c r="B2501" s="99">
        <f>B2500-50</f>
        <v>14750</v>
      </c>
      <c r="C2501" s="51">
        <v>112.3</v>
      </c>
      <c r="D2501" s="7">
        <v>79</v>
      </c>
      <c r="E2501" s="16"/>
      <c r="F2501" s="7">
        <f t="shared" si="213"/>
        <v>14671</v>
      </c>
      <c r="G2501" s="17"/>
      <c r="H2501" s="7">
        <v>129.55000000000001</v>
      </c>
      <c r="I2501" s="7">
        <v>145.69999999999999</v>
      </c>
      <c r="J2501" s="7">
        <v>123.75</v>
      </c>
      <c r="K2501" s="7"/>
      <c r="L2501" s="7"/>
      <c r="M2501" s="7">
        <v>124.05</v>
      </c>
      <c r="N2501" s="17"/>
      <c r="P2501" s="17"/>
      <c r="Q2501" s="17"/>
      <c r="R2501" s="17"/>
      <c r="S2501" s="17"/>
      <c r="T2501" s="17"/>
      <c r="U2501" s="17"/>
      <c r="V2501" s="17"/>
      <c r="W2501" s="66">
        <v>8.2638888888888887E-2</v>
      </c>
      <c r="X2501" s="7">
        <v>95.5</v>
      </c>
      <c r="Y2501" s="7">
        <v>126.25</v>
      </c>
      <c r="Z2501" s="66">
        <v>8.2638888888888887E-2</v>
      </c>
    </row>
    <row r="2502" spans="2:26" x14ac:dyDescent="0.3">
      <c r="B2502" s="5">
        <f>B2501-50</f>
        <v>14700</v>
      </c>
      <c r="C2502" s="7">
        <v>98.45</v>
      </c>
      <c r="D2502" s="7">
        <v>69</v>
      </c>
      <c r="E2502" s="16"/>
      <c r="F2502" s="7">
        <f t="shared" si="213"/>
        <v>14631</v>
      </c>
      <c r="G2502" s="16">
        <f>AVERAGE(H2501,H2493)</f>
        <v>103.65</v>
      </c>
      <c r="H2502" s="7">
        <v>112.7</v>
      </c>
      <c r="I2502" s="7">
        <v>128.44999999999999</v>
      </c>
      <c r="J2502" s="7">
        <v>106.95</v>
      </c>
      <c r="K2502" s="7"/>
      <c r="L2502" s="7"/>
      <c r="M2502" s="7">
        <v>108.6</v>
      </c>
      <c r="N2502" s="17"/>
      <c r="P2502" s="98">
        <f>Q2499</f>
        <v>461.25</v>
      </c>
      <c r="Q2502" s="92" t="s">
        <v>72</v>
      </c>
      <c r="R2502" s="17"/>
      <c r="T2502" s="92" t="s">
        <v>73</v>
      </c>
      <c r="U2502" s="7">
        <f>((X2494+Y2494)-(X2502+Y2502))</f>
        <v>15.449999999999989</v>
      </c>
      <c r="V2502" s="98">
        <f>U2502*M2483*2</f>
        <v>2317.4999999999982</v>
      </c>
      <c r="W2502" s="66">
        <v>0.45347222222222222</v>
      </c>
      <c r="X2502" s="7">
        <v>77.75</v>
      </c>
      <c r="Y2502" s="7">
        <v>129.55000000000001</v>
      </c>
      <c r="Z2502" s="66">
        <v>0.44166666666666665</v>
      </c>
    </row>
    <row r="2514" spans="2:26" x14ac:dyDescent="0.3">
      <c r="B2514" s="40"/>
      <c r="C2514" s="50">
        <f>AVERAGE(B2515,D2514)</f>
        <v>14937</v>
      </c>
      <c r="D2514" s="51">
        <f>B2515+E2515</f>
        <v>14997</v>
      </c>
      <c r="E2514" s="50">
        <f>AVERAGE(D2514,F2514)</f>
        <v>15057</v>
      </c>
      <c r="F2514" s="50">
        <f>D2514+E2515</f>
        <v>15117</v>
      </c>
      <c r="G2514" s="17"/>
      <c r="H2514" s="88" t="str">
        <f>IF((C2523-D2523)&gt;(C2534-D2534),"LONG",IF(C2534&gt;D2532,"LONG","SHORT"))</f>
        <v>LONG</v>
      </c>
      <c r="I2514" s="104">
        <v>14755</v>
      </c>
      <c r="J2514" s="105" t="s">
        <v>122</v>
      </c>
      <c r="K2514" s="106">
        <v>14890</v>
      </c>
      <c r="L2514" s="17"/>
      <c r="M2514" s="115">
        <f>900*(AVERAGE(AVERAGE(F2527,F2531),AVERAGE(E2532,E2526)))</f>
        <v>79762.5</v>
      </c>
      <c r="N2514" s="17"/>
      <c r="Q2514" s="153" t="s">
        <v>71</v>
      </c>
      <c r="R2514" s="154"/>
      <c r="S2514" s="153" t="s">
        <v>37</v>
      </c>
      <c r="T2514" s="154"/>
      <c r="U2514" s="17"/>
      <c r="V2514" s="17"/>
    </row>
    <row r="2515" spans="2:26" x14ac:dyDescent="0.3">
      <c r="B2515" s="50">
        <v>14877</v>
      </c>
      <c r="C2515" s="40"/>
      <c r="D2515" s="58"/>
      <c r="E2515" s="59">
        <f>ROUND((((B2515*F2515%)/4)/10),0)*10</f>
        <v>120</v>
      </c>
      <c r="F2515" s="51">
        <f>(100/B2515)*(F2524-F2535)</f>
        <v>3.1299993278214671</v>
      </c>
      <c r="G2515" s="17"/>
      <c r="H2515" s="93">
        <v>0.39166666666666666</v>
      </c>
      <c r="I2515" s="93">
        <v>0.39861111111111108</v>
      </c>
      <c r="J2515" s="93">
        <v>0.4055555555555555</v>
      </c>
      <c r="K2515" s="93">
        <v>0.41250000000000003</v>
      </c>
      <c r="M2515">
        <v>36000</v>
      </c>
      <c r="N2515" s="17"/>
      <c r="Q2515" s="51">
        <f>R2515-(S2515-R2515)</f>
        <v>13718.3</v>
      </c>
      <c r="R2515" s="51">
        <v>14320.3</v>
      </c>
      <c r="S2515" s="51">
        <v>14922.3</v>
      </c>
      <c r="T2515" s="51">
        <f>S2515+(S2515-R2515)</f>
        <v>15524.3</v>
      </c>
      <c r="U2515" s="17"/>
      <c r="V2515" s="17"/>
      <c r="W2515" s="90" t="s">
        <v>68</v>
      </c>
      <c r="X2515" s="91" t="s">
        <v>69</v>
      </c>
      <c r="Y2515" s="92" t="s">
        <v>70</v>
      </c>
      <c r="Z2515" s="90" t="s">
        <v>68</v>
      </c>
    </row>
    <row r="2516" spans="2:26" x14ac:dyDescent="0.3">
      <c r="B2516" s="40"/>
      <c r="C2516" s="50">
        <f>AVERAGE(B2515,D2516)</f>
        <v>14817</v>
      </c>
      <c r="D2516" s="51">
        <f>B2515-E2515</f>
        <v>14757</v>
      </c>
      <c r="E2516" s="50">
        <f>AVERAGE(D2516,F2516)</f>
        <v>14697</v>
      </c>
      <c r="F2516" s="50">
        <f>D2516-E2515</f>
        <v>14637</v>
      </c>
      <c r="G2516" s="17"/>
      <c r="H2516" s="51">
        <v>14809.45</v>
      </c>
      <c r="I2516" s="51">
        <v>14862</v>
      </c>
      <c r="J2516" s="51">
        <v>14865.5</v>
      </c>
      <c r="K2516" s="51">
        <v>14867.45</v>
      </c>
      <c r="L2516" s="17"/>
      <c r="M2516">
        <f>ROUND((M2515/375)/75,0)*75</f>
        <v>75</v>
      </c>
      <c r="N2516" s="17"/>
      <c r="Q2516" s="17"/>
      <c r="R2516" s="17"/>
      <c r="S2516" s="17"/>
      <c r="T2516" s="16"/>
      <c r="U2516" s="17"/>
      <c r="V2516" s="17"/>
      <c r="W2516" s="66">
        <v>0.41597222222222219</v>
      </c>
      <c r="X2516" s="7">
        <v>143.9</v>
      </c>
      <c r="Y2516" s="7">
        <v>160.1</v>
      </c>
      <c r="Z2516" s="66">
        <v>0.41597222222222219</v>
      </c>
    </row>
    <row r="2517" spans="2:26" x14ac:dyDescent="0.3">
      <c r="B2517" s="17"/>
      <c r="C2517" s="17"/>
      <c r="D2517" s="17"/>
      <c r="E2517" s="17"/>
      <c r="F2517" s="16"/>
      <c r="G2517" s="16"/>
      <c r="H2517" s="17"/>
      <c r="I2517" s="17"/>
      <c r="J2517" s="17"/>
      <c r="K2517" s="16"/>
      <c r="L2517" s="17"/>
      <c r="M2517" s="17"/>
      <c r="N2517" s="17"/>
      <c r="Q2517" s="17"/>
      <c r="R2517" s="17"/>
      <c r="S2517" s="17"/>
      <c r="T2517" s="17"/>
      <c r="U2517" s="17"/>
      <c r="V2517" s="17"/>
      <c r="W2517" s="66">
        <v>0.4368055555555555</v>
      </c>
      <c r="X2517" s="7">
        <v>131.4</v>
      </c>
      <c r="Y2517" s="7">
        <v>161.19999999999999</v>
      </c>
      <c r="Z2517" s="66">
        <v>0.4368055555555555</v>
      </c>
    </row>
    <row r="2518" spans="2:26" x14ac:dyDescent="0.3">
      <c r="B2518" s="16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Q2518" s="17"/>
      <c r="R2518" s="17"/>
      <c r="S2518" s="17"/>
      <c r="T2518" s="17"/>
      <c r="U2518" s="17"/>
      <c r="V2518" s="17"/>
      <c r="W2518" s="66">
        <v>0.45763888888888887</v>
      </c>
      <c r="X2518" s="7">
        <v>131.6</v>
      </c>
      <c r="Y2518" s="7">
        <v>161</v>
      </c>
      <c r="Z2518" s="66">
        <v>0.45763888888888887</v>
      </c>
    </row>
    <row r="2519" spans="2:26" x14ac:dyDescent="0.3">
      <c r="B2519" s="17"/>
      <c r="C2519" s="95">
        <v>44316</v>
      </c>
      <c r="D2519" s="17"/>
      <c r="E2519" s="17"/>
      <c r="F2519" s="7">
        <f>AVERAGE(F2521,F2532)</f>
        <v>14843.025</v>
      </c>
      <c r="G2519" s="96"/>
      <c r="H2519" s="66">
        <v>0.4201388888888889</v>
      </c>
      <c r="I2519" s="66">
        <v>7.2916666666666671E-2</v>
      </c>
      <c r="J2519" s="67">
        <v>0.14375000000000002</v>
      </c>
      <c r="K2519" s="66"/>
      <c r="L2519" s="66"/>
      <c r="M2519" s="66">
        <v>0.13541666666666666</v>
      </c>
      <c r="N2519" s="17"/>
      <c r="Q2519" s="17"/>
      <c r="R2519" s="17"/>
      <c r="S2519" s="17"/>
      <c r="T2519" s="17"/>
      <c r="U2519" s="17"/>
      <c r="V2519" s="17"/>
      <c r="W2519" s="66">
        <v>0.47847222222222219</v>
      </c>
      <c r="X2519" s="7">
        <v>121.05</v>
      </c>
      <c r="Y2519" s="7">
        <v>173.1</v>
      </c>
      <c r="Z2519" s="66">
        <v>0.47847222222222219</v>
      </c>
    </row>
    <row r="2520" spans="2:26" x14ac:dyDescent="0.3">
      <c r="B2520" s="90" t="s">
        <v>68</v>
      </c>
      <c r="C2520" s="66">
        <v>0.41666666666666669</v>
      </c>
      <c r="D2520" s="66">
        <v>0.3888888888888889</v>
      </c>
      <c r="E2520" s="17"/>
      <c r="F2520" s="17"/>
      <c r="G2520" s="17"/>
      <c r="H2520" s="7">
        <v>14859.05</v>
      </c>
      <c r="I2520" s="7">
        <v>14756.9</v>
      </c>
      <c r="J2520" s="23">
        <v>32.75</v>
      </c>
      <c r="K2520" s="7"/>
      <c r="L2520" s="7"/>
      <c r="M2520" s="7">
        <v>14688.25</v>
      </c>
      <c r="N2520" s="17"/>
      <c r="Q2520" s="150" t="s">
        <v>72</v>
      </c>
      <c r="R2520" s="151"/>
      <c r="S2520" s="151"/>
      <c r="T2520" s="151"/>
      <c r="U2520" s="152"/>
      <c r="V2520" s="17"/>
      <c r="W2520" s="66">
        <v>0.4993055555555555</v>
      </c>
      <c r="X2520" s="7">
        <v>115.95</v>
      </c>
      <c r="Y2520" s="7">
        <v>173.2</v>
      </c>
      <c r="Z2520" s="66">
        <v>0.4993055555555555</v>
      </c>
    </row>
    <row r="2521" spans="2:26" x14ac:dyDescent="0.3">
      <c r="B2521" s="5">
        <f>B2522-50</f>
        <v>14850</v>
      </c>
      <c r="C2521" s="7">
        <v>170</v>
      </c>
      <c r="D2521" s="7">
        <v>137.4</v>
      </c>
      <c r="E2521" s="16"/>
      <c r="F2521" s="7">
        <f t="shared" ref="F2521:F2526" si="214">B2521+D2521</f>
        <v>14987.4</v>
      </c>
      <c r="G2521" s="17"/>
      <c r="H2521" s="7">
        <v>161</v>
      </c>
      <c r="I2521" s="7">
        <v>103.25</v>
      </c>
      <c r="J2521" s="7">
        <v>82.6</v>
      </c>
      <c r="K2521" s="7"/>
      <c r="L2521" s="7"/>
      <c r="M2521" s="7">
        <v>87.8</v>
      </c>
      <c r="N2521" s="17"/>
      <c r="Q2521" s="34"/>
      <c r="R2521" s="34" t="s">
        <v>111</v>
      </c>
      <c r="S2521" s="34" t="s">
        <v>2</v>
      </c>
      <c r="T2521" s="34" t="s">
        <v>1</v>
      </c>
      <c r="U2521" s="34" t="s">
        <v>111</v>
      </c>
      <c r="V2521" s="17"/>
      <c r="W2521" s="66">
        <v>0.52013888888888882</v>
      </c>
      <c r="X2521" s="7">
        <v>120.55</v>
      </c>
      <c r="Y2521" s="7">
        <v>161.15</v>
      </c>
      <c r="Z2521" s="66">
        <v>0.52013888888888882</v>
      </c>
    </row>
    <row r="2522" spans="2:26" x14ac:dyDescent="0.3">
      <c r="B2522" s="5">
        <f>B2523-50</f>
        <v>14900</v>
      </c>
      <c r="C2522" s="7">
        <v>143.9</v>
      </c>
      <c r="D2522" s="7">
        <v>115.25</v>
      </c>
      <c r="E2522" s="16"/>
      <c r="F2522" s="7">
        <f t="shared" si="214"/>
        <v>15015.25</v>
      </c>
      <c r="G2522" s="17"/>
      <c r="H2522" s="7">
        <v>135.69999999999999</v>
      </c>
      <c r="I2522" s="7">
        <v>84.3</v>
      </c>
      <c r="J2522" s="7">
        <v>66.25</v>
      </c>
      <c r="K2522" s="7"/>
      <c r="L2522" s="7"/>
      <c r="M2522" s="7">
        <v>71.150000000000006</v>
      </c>
      <c r="P2522" s="17"/>
      <c r="Q2522" s="7">
        <f>(U2522*T2522)-(R2522*S2522)</f>
        <v>4173.75</v>
      </c>
      <c r="R2522" s="109">
        <v>75</v>
      </c>
      <c r="S2522" s="7">
        <v>112.55</v>
      </c>
      <c r="T2522" s="18">
        <v>168.2</v>
      </c>
      <c r="U2522" s="109">
        <f>R2522</f>
        <v>75</v>
      </c>
      <c r="V2522" s="17"/>
      <c r="W2522" s="66">
        <v>0.54097222222222219</v>
      </c>
      <c r="X2522" s="7">
        <v>118.1</v>
      </c>
      <c r="Y2522" s="7">
        <v>162.69999999999999</v>
      </c>
      <c r="Z2522" s="66">
        <v>0.54097222222222219</v>
      </c>
    </row>
    <row r="2523" spans="2:26" x14ac:dyDescent="0.3">
      <c r="B2523" s="97">
        <v>14950</v>
      </c>
      <c r="C2523" s="7">
        <v>120.8</v>
      </c>
      <c r="D2523" s="7">
        <v>95.45</v>
      </c>
      <c r="E2523" s="16"/>
      <c r="F2523" s="7">
        <f t="shared" si="214"/>
        <v>15045.45</v>
      </c>
      <c r="G2523" s="17"/>
      <c r="H2523" s="7">
        <v>113.9</v>
      </c>
      <c r="I2523" s="7">
        <v>67.8</v>
      </c>
      <c r="J2523" s="7">
        <v>53.35</v>
      </c>
      <c r="K2523" s="7"/>
      <c r="L2523" s="7"/>
      <c r="M2523" s="7">
        <v>57.1</v>
      </c>
      <c r="P2523" s="17"/>
      <c r="Q2523" s="7">
        <f t="shared" ref="Q2523:Q2525" si="215">(U2523*T2523)-(R2523*S2523)</f>
        <v>1376.25</v>
      </c>
      <c r="R2523" s="109">
        <f>M2516</f>
        <v>75</v>
      </c>
      <c r="S2523" s="7">
        <v>112.55</v>
      </c>
      <c r="T2523" s="18">
        <v>130.9</v>
      </c>
      <c r="U2523" s="109">
        <f t="shared" ref="U2523:U2525" si="216">R2523</f>
        <v>75</v>
      </c>
      <c r="V2523" s="17"/>
      <c r="W2523" s="66">
        <v>6.1805555555555558E-2</v>
      </c>
      <c r="X2523" s="7">
        <v>102.5</v>
      </c>
      <c r="Y2523" s="7">
        <v>182.6</v>
      </c>
      <c r="Z2523" s="66">
        <v>6.1805555555555558E-2</v>
      </c>
    </row>
    <row r="2524" spans="2:26" x14ac:dyDescent="0.3">
      <c r="B2524" s="5">
        <f>B2523+50</f>
        <v>15000</v>
      </c>
      <c r="C2524" s="7">
        <v>99.3</v>
      </c>
      <c r="D2524" s="23">
        <v>78</v>
      </c>
      <c r="E2524" s="16"/>
      <c r="F2524" s="98">
        <f t="shared" si="214"/>
        <v>15078</v>
      </c>
      <c r="G2524" s="17"/>
      <c r="H2524" s="7">
        <v>93.2</v>
      </c>
      <c r="I2524" s="7">
        <v>53.7</v>
      </c>
      <c r="J2524" s="7">
        <v>42.3</v>
      </c>
      <c r="K2524" s="7"/>
      <c r="L2524" s="7"/>
      <c r="M2524" s="7">
        <v>45.6</v>
      </c>
      <c r="N2524" s="17"/>
      <c r="P2524" s="17"/>
      <c r="Q2524" s="7">
        <f t="shared" si="215"/>
        <v>0</v>
      </c>
      <c r="R2524" s="109"/>
      <c r="S2524" s="7"/>
      <c r="T2524" s="18"/>
      <c r="U2524" s="109">
        <f t="shared" si="216"/>
        <v>0</v>
      </c>
      <c r="V2524" s="16"/>
      <c r="W2524" s="66">
        <v>8.2638888888888887E-2</v>
      </c>
      <c r="X2524" s="7">
        <v>91.75</v>
      </c>
      <c r="Y2524" s="7">
        <v>191</v>
      </c>
      <c r="Z2524" s="66">
        <v>8.2638888888888887E-2</v>
      </c>
    </row>
    <row r="2525" spans="2:26" x14ac:dyDescent="0.3">
      <c r="B2525" s="99">
        <f>B2524+50</f>
        <v>15050</v>
      </c>
      <c r="C2525" s="51">
        <v>80.099999999999994</v>
      </c>
      <c r="D2525" s="7">
        <v>62.8</v>
      </c>
      <c r="E2525" s="16"/>
      <c r="F2525" s="7">
        <f t="shared" si="214"/>
        <v>15112.8</v>
      </c>
      <c r="G2525" s="17"/>
      <c r="H2525" s="7">
        <v>75.95</v>
      </c>
      <c r="I2525" s="7">
        <v>42.3</v>
      </c>
      <c r="J2525" s="7">
        <v>33</v>
      </c>
      <c r="K2525" s="7"/>
      <c r="L2525" s="7"/>
      <c r="M2525" s="7">
        <v>35.6</v>
      </c>
      <c r="N2525" s="17"/>
      <c r="P2525" s="17"/>
      <c r="Q2525" s="7">
        <f t="shared" si="215"/>
        <v>0</v>
      </c>
      <c r="R2525" s="109"/>
      <c r="S2525" s="18"/>
      <c r="T2525" s="18"/>
      <c r="U2525" s="109">
        <f t="shared" si="216"/>
        <v>0</v>
      </c>
      <c r="V2525" s="17"/>
    </row>
    <row r="2526" spans="2:26" x14ac:dyDescent="0.3">
      <c r="B2526" s="5">
        <f>B2525+50</f>
        <v>15100</v>
      </c>
      <c r="C2526" s="7">
        <v>64.650000000000006</v>
      </c>
      <c r="D2526" s="7">
        <v>50.05</v>
      </c>
      <c r="E2526" s="16">
        <f>E2527-(F2527-E2527)</f>
        <v>66.250000000000028</v>
      </c>
      <c r="F2526" s="7">
        <f t="shared" si="214"/>
        <v>15150.05</v>
      </c>
      <c r="G2526" s="16"/>
      <c r="H2526" s="7">
        <v>60.3</v>
      </c>
      <c r="I2526" s="7">
        <v>32.75</v>
      </c>
      <c r="J2526" s="7">
        <v>25.95</v>
      </c>
      <c r="K2526" s="7"/>
      <c r="L2526" s="7"/>
      <c r="M2526" s="7">
        <v>27.7</v>
      </c>
      <c r="N2526" s="17"/>
      <c r="P2526" s="17"/>
      <c r="Q2526" s="7"/>
      <c r="R2526" s="109"/>
      <c r="S2526" s="109"/>
      <c r="T2526" s="114"/>
      <c r="U2526" s="109"/>
      <c r="V2526" s="17"/>
    </row>
    <row r="2527" spans="2:26" x14ac:dyDescent="0.3">
      <c r="B2527" s="17"/>
      <c r="C2527" s="17"/>
      <c r="D2527" s="16"/>
      <c r="E2527" s="16">
        <f>F2527-(G2527-F2527)</f>
        <v>84.950000000000017</v>
      </c>
      <c r="F2527" s="16">
        <f>AVERAGE(C2524,C2537)</f>
        <v>103.65</v>
      </c>
      <c r="G2527" s="16">
        <f>AVERAGE(C2523,C2536)</f>
        <v>122.35</v>
      </c>
      <c r="H2527" s="7"/>
      <c r="I2527" s="7"/>
      <c r="J2527" s="7"/>
      <c r="K2527" s="7"/>
      <c r="L2527" s="7"/>
      <c r="M2527" s="7"/>
      <c r="N2527" s="17"/>
      <c r="P2527" s="17"/>
      <c r="Q2527" s="17"/>
      <c r="R2527" s="17"/>
      <c r="S2527" s="17"/>
      <c r="T2527" s="17"/>
      <c r="U2527" s="16"/>
      <c r="V2527" s="16"/>
    </row>
    <row r="2528" spans="2:26" x14ac:dyDescent="0.3">
      <c r="B2528" s="17"/>
      <c r="C2528" s="17"/>
      <c r="D2528" s="16"/>
      <c r="E2528" s="16"/>
      <c r="F2528" s="16"/>
      <c r="G2528" s="16"/>
      <c r="N2528" s="17"/>
      <c r="P2528" s="17"/>
      <c r="Q2528" s="17"/>
      <c r="R2528" s="17"/>
      <c r="S2528" s="17"/>
      <c r="T2528" s="17"/>
      <c r="U2528" s="16"/>
      <c r="V2528" s="16"/>
      <c r="W2528" s="90" t="s">
        <v>68</v>
      </c>
      <c r="X2528" s="91" t="s">
        <v>69</v>
      </c>
      <c r="Y2528" s="92" t="s">
        <v>70</v>
      </c>
      <c r="Z2528" s="90" t="s">
        <v>68</v>
      </c>
    </row>
    <row r="2529" spans="2:26" x14ac:dyDescent="0.3">
      <c r="B2529" s="17"/>
      <c r="C2529" s="17"/>
      <c r="D2529" s="16"/>
      <c r="E2529" s="16"/>
      <c r="F2529" s="16"/>
      <c r="G2529" s="16"/>
      <c r="H2529" s="101"/>
      <c r="I2529" s="101"/>
      <c r="J2529" s="101"/>
      <c r="K2529" s="101"/>
      <c r="L2529" s="101"/>
      <c r="M2529" s="101"/>
      <c r="N2529" s="17"/>
      <c r="P2529" s="17"/>
      <c r="Q2529" s="17"/>
      <c r="R2529" s="17"/>
      <c r="S2529" s="17"/>
      <c r="T2529" s="17"/>
      <c r="U2529" s="16"/>
      <c r="V2529" s="16"/>
      <c r="W2529" s="66">
        <v>0.41597222222222219</v>
      </c>
      <c r="X2529" s="7">
        <v>80.099999999999994</v>
      </c>
      <c r="Y2529" s="7">
        <v>108</v>
      </c>
      <c r="Z2529" s="66">
        <v>0.41597222222222219</v>
      </c>
    </row>
    <row r="2530" spans="2:26" x14ac:dyDescent="0.3">
      <c r="B2530" s="17"/>
      <c r="C2530" s="95">
        <v>44315</v>
      </c>
      <c r="D2530" s="17"/>
      <c r="F2530" s="16"/>
      <c r="H2530" s="66">
        <v>0.4201388888888889</v>
      </c>
      <c r="I2530" s="66">
        <v>7.2916666666666671E-2</v>
      </c>
      <c r="J2530" s="66">
        <v>0.14375000000000002</v>
      </c>
      <c r="K2530" s="66"/>
      <c r="L2530" s="66"/>
      <c r="M2530" s="66">
        <v>0.13541666666666666</v>
      </c>
      <c r="N2530" s="17"/>
      <c r="P2530" s="17"/>
      <c r="Q2530" s="7">
        <f t="shared" ref="Q2530:Q2533" si="217">(U2530*T2530)-(R2530*S2530)</f>
        <v>0</v>
      </c>
      <c r="R2530" s="109"/>
      <c r="S2530" s="7"/>
      <c r="T2530" s="7"/>
      <c r="U2530" s="109">
        <f>R2530</f>
        <v>0</v>
      </c>
      <c r="V2530" s="17"/>
      <c r="W2530" s="66">
        <v>0.4368055555555555</v>
      </c>
      <c r="X2530" s="7">
        <v>72</v>
      </c>
      <c r="Y2530" s="7">
        <v>106.9</v>
      </c>
      <c r="Z2530" s="66">
        <v>0.4368055555555555</v>
      </c>
    </row>
    <row r="2531" spans="2:26" x14ac:dyDescent="0.3">
      <c r="B2531" s="90" t="s">
        <v>68</v>
      </c>
      <c r="C2531" s="66">
        <v>0.41666666666666669</v>
      </c>
      <c r="D2531" s="66">
        <v>0.40347222222222223</v>
      </c>
      <c r="E2531" s="16">
        <f>F2531-(G2531-F2531)</f>
        <v>92.299999999999983</v>
      </c>
      <c r="F2531" s="16">
        <f>AVERAGE(C2536,C2524)</f>
        <v>111.6</v>
      </c>
      <c r="G2531" s="16">
        <f>AVERAGE(C2535,C2523)</f>
        <v>130.9</v>
      </c>
      <c r="H2531" s="23">
        <v>111.6</v>
      </c>
      <c r="I2531" s="23">
        <v>130.9</v>
      </c>
      <c r="J2531" s="7">
        <v>14679.5</v>
      </c>
      <c r="K2531" s="7"/>
      <c r="L2531" s="7"/>
      <c r="M2531" s="7">
        <v>14688.25</v>
      </c>
      <c r="N2531" s="17"/>
      <c r="P2531" s="17"/>
      <c r="Q2531" s="7">
        <f t="shared" si="217"/>
        <v>0</v>
      </c>
      <c r="R2531" s="109"/>
      <c r="S2531" s="7"/>
      <c r="T2531" s="7"/>
      <c r="U2531" s="109">
        <f>R2531</f>
        <v>0</v>
      </c>
      <c r="V2531" s="17"/>
      <c r="W2531" s="66">
        <v>0.45763888888888887</v>
      </c>
      <c r="X2531" s="7">
        <v>72</v>
      </c>
      <c r="Y2531" s="7">
        <v>106.15</v>
      </c>
      <c r="Z2531" s="66">
        <v>0.45763888888888887</v>
      </c>
    </row>
    <row r="2532" spans="2:26" x14ac:dyDescent="0.3">
      <c r="B2532" s="5">
        <f>B2533+50</f>
        <v>14900</v>
      </c>
      <c r="C2532" s="7">
        <v>206.45</v>
      </c>
      <c r="D2532" s="7">
        <v>201.35</v>
      </c>
      <c r="E2532" s="16">
        <f>E2531-(F2531-E2531)</f>
        <v>72.999999999999972</v>
      </c>
      <c r="F2532" s="7">
        <f t="shared" ref="F2532:F2537" si="218">B2532-D2532</f>
        <v>14698.65</v>
      </c>
      <c r="G2532" s="16"/>
      <c r="H2532" s="7">
        <v>214.75</v>
      </c>
      <c r="I2532" s="7">
        <v>261.39999999999998</v>
      </c>
      <c r="J2532" s="7">
        <v>327.45</v>
      </c>
      <c r="K2532" s="7"/>
      <c r="L2532" s="7"/>
      <c r="M2532" s="7">
        <v>314.60000000000002</v>
      </c>
      <c r="N2532" s="17"/>
      <c r="P2532" s="17"/>
      <c r="Q2532" s="7">
        <f t="shared" si="217"/>
        <v>0</v>
      </c>
      <c r="R2532" s="109"/>
      <c r="S2532" s="18"/>
      <c r="T2532" s="18"/>
      <c r="U2532" s="109"/>
      <c r="V2532" s="16"/>
      <c r="W2532" s="66">
        <v>0.47847222222222219</v>
      </c>
      <c r="X2532" s="7">
        <v>65.650000000000006</v>
      </c>
      <c r="Y2532" s="7">
        <v>114.25</v>
      </c>
      <c r="Z2532" s="66">
        <v>0.47847222222222219</v>
      </c>
    </row>
    <row r="2533" spans="2:26" x14ac:dyDescent="0.3">
      <c r="B2533" s="5">
        <f>B2534+50</f>
        <v>14850</v>
      </c>
      <c r="C2533" s="7">
        <v>180.9</v>
      </c>
      <c r="D2533" s="7">
        <v>178.25</v>
      </c>
      <c r="E2533" s="16"/>
      <c r="F2533" s="7">
        <f t="shared" si="218"/>
        <v>14671.75</v>
      </c>
      <c r="G2533" s="17"/>
      <c r="H2533" s="7">
        <v>189.3</v>
      </c>
      <c r="I2533" s="7">
        <v>230.4</v>
      </c>
      <c r="J2533" s="7">
        <v>293.55</v>
      </c>
      <c r="K2533" s="7"/>
      <c r="L2533" s="7"/>
      <c r="M2533" s="7">
        <v>281.64999999999998</v>
      </c>
      <c r="N2533" s="17"/>
      <c r="P2533" s="17"/>
      <c r="Q2533" s="7">
        <f t="shared" si="217"/>
        <v>0</v>
      </c>
      <c r="R2533" s="109"/>
      <c r="S2533" s="18"/>
      <c r="T2533" s="18"/>
      <c r="U2533" s="109"/>
      <c r="V2533" s="16"/>
      <c r="W2533" s="66">
        <v>0.4993055555555555</v>
      </c>
      <c r="X2533" s="7">
        <v>62.9</v>
      </c>
      <c r="Y2533" s="7">
        <v>113.95</v>
      </c>
      <c r="Z2533" s="66">
        <v>0.4993055555555555</v>
      </c>
    </row>
    <row r="2534" spans="2:26" x14ac:dyDescent="0.3">
      <c r="B2534" s="97">
        <v>14800</v>
      </c>
      <c r="C2534" s="7">
        <v>160.1</v>
      </c>
      <c r="D2534" s="7">
        <v>157.1</v>
      </c>
      <c r="E2534" s="16"/>
      <c r="F2534" s="7">
        <f t="shared" si="218"/>
        <v>14642.9</v>
      </c>
      <c r="G2534" s="17"/>
      <c r="H2534" s="7">
        <v>166.5</v>
      </c>
      <c r="I2534" s="7">
        <v>202.9</v>
      </c>
      <c r="J2534" s="7">
        <v>260.85000000000002</v>
      </c>
      <c r="K2534" s="7"/>
      <c r="L2534" s="7"/>
      <c r="M2534" s="7">
        <v>249.85</v>
      </c>
      <c r="N2534" s="17"/>
      <c r="P2534" s="17"/>
      <c r="Q2534" s="7">
        <f>SUM(Q2522:Q2533)</f>
        <v>5550</v>
      </c>
      <c r="R2534" s="14">
        <f>SUM(R2522:R2533)</f>
        <v>150</v>
      </c>
      <c r="S2534" s="109">
        <f>R2534-U2534</f>
        <v>0</v>
      </c>
      <c r="T2534" s="114" t="e">
        <f>Q2534/S2534</f>
        <v>#DIV/0!</v>
      </c>
      <c r="U2534" s="14">
        <f>SUM(U2522:U2533)</f>
        <v>150</v>
      </c>
      <c r="V2534" s="17"/>
      <c r="W2534" s="66">
        <v>0.52013888888888882</v>
      </c>
      <c r="X2534" s="7">
        <v>64.849999999999994</v>
      </c>
      <c r="Y2534" s="7">
        <v>105.95</v>
      </c>
      <c r="Z2534" s="66">
        <v>0.52013888888888882</v>
      </c>
    </row>
    <row r="2535" spans="2:26" x14ac:dyDescent="0.3">
      <c r="B2535" s="14">
        <f>B2534-50</f>
        <v>14750</v>
      </c>
      <c r="C2535" s="7">
        <v>141</v>
      </c>
      <c r="D2535" s="23">
        <v>137.65</v>
      </c>
      <c r="E2535" s="16"/>
      <c r="F2535" s="98">
        <f t="shared" si="218"/>
        <v>14612.35</v>
      </c>
      <c r="G2535" s="17"/>
      <c r="H2535" s="7">
        <v>147.19999999999999</v>
      </c>
      <c r="I2535" s="7">
        <v>176.6</v>
      </c>
      <c r="J2535" s="7">
        <v>230.5</v>
      </c>
      <c r="K2535" s="7"/>
      <c r="L2535" s="7"/>
      <c r="M2535" s="7">
        <v>220.3</v>
      </c>
      <c r="N2535" s="17"/>
      <c r="P2535" s="17"/>
      <c r="Q2535" s="17"/>
      <c r="R2535" s="17"/>
      <c r="S2535" s="17"/>
      <c r="T2535" s="17"/>
      <c r="U2535" s="17"/>
      <c r="V2535" s="17"/>
      <c r="W2535" s="66">
        <v>0.54097222222222219</v>
      </c>
      <c r="X2535" s="7">
        <v>63.3</v>
      </c>
      <c r="Y2535" s="7">
        <v>105.8</v>
      </c>
      <c r="Z2535" s="66">
        <v>0.54097222222222219</v>
      </c>
    </row>
    <row r="2536" spans="2:26" x14ac:dyDescent="0.3">
      <c r="B2536" s="99">
        <f>B2535-50</f>
        <v>14700</v>
      </c>
      <c r="C2536" s="7">
        <v>123.9</v>
      </c>
      <c r="D2536" s="7">
        <v>120.6</v>
      </c>
      <c r="E2536" s="16"/>
      <c r="F2536" s="7">
        <f t="shared" si="218"/>
        <v>14579.4</v>
      </c>
      <c r="G2536" s="16">
        <f>AVERAGE(H2537,H2525)</f>
        <v>94.25</v>
      </c>
      <c r="H2536" s="7">
        <v>129</v>
      </c>
      <c r="I2536" s="7">
        <v>153.15</v>
      </c>
      <c r="J2536" s="7">
        <v>204.2</v>
      </c>
      <c r="K2536" s="7"/>
      <c r="L2536" s="7"/>
      <c r="M2536" s="7">
        <v>192.85</v>
      </c>
      <c r="N2536" s="17"/>
      <c r="P2536" s="17"/>
      <c r="Q2536" s="17"/>
      <c r="R2536" s="17"/>
      <c r="S2536" s="17"/>
      <c r="T2536" s="17"/>
      <c r="U2536" s="17"/>
      <c r="V2536" s="17"/>
      <c r="W2536" s="66">
        <v>6.1805555555555558E-2</v>
      </c>
      <c r="X2536" s="7">
        <v>53.35</v>
      </c>
      <c r="Y2536" s="7">
        <v>119.8</v>
      </c>
      <c r="Z2536" s="66">
        <v>6.1805555555555558E-2</v>
      </c>
    </row>
    <row r="2537" spans="2:26" x14ac:dyDescent="0.3">
      <c r="B2537" s="5">
        <f>B2536-50</f>
        <v>14650</v>
      </c>
      <c r="C2537" s="51">
        <v>108</v>
      </c>
      <c r="D2537" s="7">
        <v>105.85</v>
      </c>
      <c r="E2537" s="16"/>
      <c r="F2537" s="7">
        <f t="shared" si="218"/>
        <v>14544.15</v>
      </c>
      <c r="G2537" s="16">
        <f>AVERAGE(H2537,H2526)</f>
        <v>86.424999999999997</v>
      </c>
      <c r="H2537" s="7">
        <v>112.55</v>
      </c>
      <c r="I2537" s="7">
        <v>132.4</v>
      </c>
      <c r="J2537" s="7">
        <v>178.7</v>
      </c>
      <c r="K2537" s="7"/>
      <c r="L2537" s="7"/>
      <c r="M2537" s="7">
        <v>168.2</v>
      </c>
      <c r="N2537" s="17"/>
      <c r="W2537" s="66">
        <v>8.2638888888888887E-2</v>
      </c>
      <c r="X2537" s="7">
        <v>46.2</v>
      </c>
      <c r="Y2537" s="7">
        <v>124.4</v>
      </c>
      <c r="Z2537" s="66">
        <v>8.2638888888888887E-2</v>
      </c>
    </row>
    <row r="2538" spans="2:26" x14ac:dyDescent="0.3">
      <c r="G2538" s="40"/>
      <c r="H2538" s="7">
        <v>98.5</v>
      </c>
      <c r="I2538" s="7">
        <v>114</v>
      </c>
      <c r="J2538" s="7">
        <v>156.05000000000001</v>
      </c>
      <c r="K2538" s="7"/>
      <c r="L2538" s="7"/>
      <c r="M2538" s="7">
        <v>146.35</v>
      </c>
      <c r="P2538" s="98">
        <f>Q2534</f>
        <v>5550</v>
      </c>
      <c r="Q2538" s="92" t="s">
        <v>72</v>
      </c>
      <c r="R2538" s="17"/>
      <c r="T2538" s="92" t="s">
        <v>73</v>
      </c>
      <c r="U2538" s="7">
        <f>((X2530+Y2530)-(X2538+Y2538))</f>
        <v>15</v>
      </c>
      <c r="V2538" s="98">
        <f>U2538*M2516*2</f>
        <v>2250</v>
      </c>
      <c r="W2538" s="66">
        <v>4.8611111111111112E-2</v>
      </c>
      <c r="X2538" s="7">
        <v>57</v>
      </c>
      <c r="Y2538" s="7">
        <v>106.9</v>
      </c>
      <c r="Z2538" s="66">
        <v>0.4368055555555555</v>
      </c>
    </row>
    <row r="2548" spans="2:26" x14ac:dyDescent="0.3">
      <c r="B2548" s="40"/>
      <c r="C2548" s="50">
        <f>AVERAGE(B2549,D2548)</f>
        <v>14634</v>
      </c>
      <c r="D2548" s="51">
        <f>B2549+E2549</f>
        <v>14684</v>
      </c>
      <c r="E2548" s="50">
        <f>AVERAGE(D2548,F2548)</f>
        <v>14734</v>
      </c>
      <c r="F2548" s="50">
        <f>D2548+E2549</f>
        <v>14784</v>
      </c>
      <c r="G2548" s="17"/>
      <c r="H2548" s="88" t="str">
        <f>IF((C2557-D2557)&gt;(C2568-D2568),"LONG",IF(C2568&gt;D2566,"LONG","SHORT"))</f>
        <v>LONG</v>
      </c>
      <c r="I2548" s="104">
        <v>14461</v>
      </c>
      <c r="J2548" s="120" t="s">
        <v>122</v>
      </c>
      <c r="K2548" s="106">
        <v>14607</v>
      </c>
      <c r="L2548" s="17"/>
      <c r="N2548" s="17"/>
      <c r="O2548" s="17"/>
      <c r="Q2548" s="40"/>
      <c r="R2548" s="40"/>
      <c r="S2548" s="40"/>
      <c r="U2548" s="17"/>
      <c r="V2548" s="17"/>
    </row>
    <row r="2549" spans="2:26" x14ac:dyDescent="0.3">
      <c r="B2549" s="50">
        <v>14584</v>
      </c>
      <c r="C2549" s="40"/>
      <c r="D2549" s="58"/>
      <c r="E2549" s="59">
        <f>ROUND((((B2549*F2549%)/4)/10),0)*10</f>
        <v>100</v>
      </c>
      <c r="F2549" s="51">
        <f>(100/B2549)*(F2558-F2569)</f>
        <v>2.7238754799780582</v>
      </c>
      <c r="G2549" s="17"/>
      <c r="H2549" s="93">
        <v>0.39166666666666666</v>
      </c>
      <c r="I2549" s="93">
        <v>0.39861111111111108</v>
      </c>
      <c r="J2549" s="93">
        <v>0.4055555555555555</v>
      </c>
      <c r="K2549" s="93">
        <v>0.41250000000000003</v>
      </c>
      <c r="M2549" s="50">
        <v>13800</v>
      </c>
      <c r="N2549" s="17"/>
      <c r="O2549" s="17"/>
      <c r="Q2549" s="40"/>
      <c r="R2549" s="40"/>
      <c r="S2549" s="40"/>
      <c r="U2549" s="17"/>
      <c r="V2549" s="17"/>
      <c r="W2549" s="90" t="s">
        <v>68</v>
      </c>
      <c r="X2549" s="119" t="s">
        <v>69</v>
      </c>
      <c r="Y2549" s="92" t="s">
        <v>70</v>
      </c>
      <c r="Z2549" s="90" t="s">
        <v>68</v>
      </c>
    </row>
    <row r="2550" spans="2:26" x14ac:dyDescent="0.3">
      <c r="B2550" s="40"/>
      <c r="C2550" s="50">
        <f>AVERAGE(B2549,D2550)</f>
        <v>14534</v>
      </c>
      <c r="D2550" s="51">
        <f>B2549-E2549</f>
        <v>14484</v>
      </c>
      <c r="E2550" s="50">
        <f>AVERAGE(D2550,F2550)</f>
        <v>14434</v>
      </c>
      <c r="F2550" s="50">
        <f>D2550-E2549</f>
        <v>14384</v>
      </c>
      <c r="G2550" s="17"/>
      <c r="H2550" s="51">
        <v>14540.05</v>
      </c>
      <c r="I2550" s="51">
        <v>14552</v>
      </c>
      <c r="J2550" s="51">
        <v>14585</v>
      </c>
      <c r="K2550" s="51">
        <v>14589.55</v>
      </c>
      <c r="L2550" s="17"/>
      <c r="N2550" s="17"/>
      <c r="O2550" s="17"/>
      <c r="Q2550" s="40"/>
      <c r="R2550" s="40"/>
      <c r="S2550" s="40"/>
      <c r="U2550" s="17"/>
      <c r="V2550" s="17"/>
      <c r="W2550" s="66">
        <v>0.41597222222222219</v>
      </c>
      <c r="X2550" s="7">
        <v>140.80000000000001</v>
      </c>
      <c r="Y2550" s="7">
        <v>123.8</v>
      </c>
      <c r="Z2550" s="66">
        <v>0.41597222222222219</v>
      </c>
    </row>
    <row r="2551" spans="2:26" x14ac:dyDescent="0.3">
      <c r="B2551" s="17"/>
      <c r="C2551" s="17"/>
      <c r="D2551" s="17"/>
      <c r="E2551" s="17"/>
      <c r="F2551" s="16"/>
      <c r="G2551" s="16"/>
      <c r="H2551" s="17"/>
      <c r="I2551" s="17"/>
      <c r="J2551" s="17"/>
      <c r="K2551" s="16"/>
      <c r="L2551" s="17"/>
      <c r="M2551" s="17"/>
      <c r="N2551" s="17"/>
      <c r="O2551" s="17"/>
      <c r="Q2551" s="17"/>
      <c r="R2551" s="17"/>
      <c r="S2551" s="17"/>
      <c r="T2551" s="17"/>
      <c r="U2551" s="17"/>
      <c r="V2551" s="17"/>
      <c r="W2551" s="66">
        <v>0.4368055555555555</v>
      </c>
      <c r="X2551" s="7">
        <v>130.44999999999999</v>
      </c>
      <c r="Y2551" s="7">
        <v>128.25</v>
      </c>
      <c r="Z2551" s="66">
        <v>0.4368055555555555</v>
      </c>
    </row>
    <row r="2552" spans="2:26" x14ac:dyDescent="0.3">
      <c r="B2552" s="16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U2552" s="17"/>
      <c r="V2552" s="17"/>
      <c r="W2552" s="66">
        <v>0.45763888888888887</v>
      </c>
      <c r="X2552" s="7">
        <v>143.15</v>
      </c>
      <c r="Y2552" s="7">
        <v>114.55</v>
      </c>
      <c r="Z2552" s="66">
        <v>0.45763888888888887</v>
      </c>
    </row>
    <row r="2553" spans="2:26" x14ac:dyDescent="0.3">
      <c r="B2553" s="17"/>
      <c r="C2553" s="95">
        <v>44319</v>
      </c>
      <c r="D2553" s="17"/>
      <c r="E2553" s="17"/>
      <c r="F2553" s="7">
        <f>AVERAGE(F2555,F2566)</f>
        <v>14544.3</v>
      </c>
      <c r="G2553" s="96"/>
      <c r="H2553" s="66">
        <v>5.2083333333333336E-2</v>
      </c>
      <c r="I2553" s="66">
        <v>5.6250000000000001E-2</v>
      </c>
      <c r="J2553" s="66" t="s">
        <v>127</v>
      </c>
      <c r="K2553" s="66">
        <v>0.13541666666666666</v>
      </c>
      <c r="L2553" s="17"/>
      <c r="M2553" s="66"/>
      <c r="N2553" s="66"/>
      <c r="O2553" s="68"/>
      <c r="U2553" s="17"/>
      <c r="V2553" s="17"/>
      <c r="W2553" s="66">
        <v>0.47847222222222219</v>
      </c>
      <c r="X2553" s="7">
        <v>140</v>
      </c>
      <c r="Y2553" s="7">
        <v>113.05</v>
      </c>
      <c r="Z2553" s="66">
        <v>0.47847222222222219</v>
      </c>
    </row>
    <row r="2554" spans="2:26" x14ac:dyDescent="0.3">
      <c r="B2554" s="90" t="s">
        <v>68</v>
      </c>
      <c r="C2554" s="66">
        <v>0.41666666666666669</v>
      </c>
      <c r="D2554" s="66">
        <v>0.38680555555555557</v>
      </c>
      <c r="E2554" s="17"/>
      <c r="F2554" s="17"/>
      <c r="G2554" s="17"/>
      <c r="H2554" s="23">
        <v>91</v>
      </c>
      <c r="I2554" s="23">
        <v>67.099999999999994</v>
      </c>
      <c r="J2554" s="23">
        <v>86.8</v>
      </c>
      <c r="K2554" s="7">
        <v>14680</v>
      </c>
      <c r="L2554" s="17"/>
      <c r="M2554" s="7"/>
      <c r="N2554" s="7"/>
      <c r="O2554" s="70"/>
      <c r="R2554" s="158" t="s">
        <v>128</v>
      </c>
      <c r="S2554" s="158"/>
      <c r="V2554" s="17"/>
      <c r="W2554" s="66">
        <v>0.4993055555555555</v>
      </c>
      <c r="X2554" s="7">
        <v>140.55000000000001</v>
      </c>
      <c r="Y2554" s="7">
        <v>111.25</v>
      </c>
      <c r="Z2554" s="66">
        <v>0.4993055555555555</v>
      </c>
    </row>
    <row r="2555" spans="2:26" x14ac:dyDescent="0.3">
      <c r="B2555" s="5">
        <f>B2556-50</f>
        <v>14550</v>
      </c>
      <c r="C2555" s="7">
        <v>140.80000000000001</v>
      </c>
      <c r="D2555" s="7">
        <v>99.55</v>
      </c>
      <c r="E2555" s="16"/>
      <c r="F2555" s="7">
        <f t="shared" ref="F2555:F2560" si="219">B2555+D2555</f>
        <v>14649.55</v>
      </c>
      <c r="G2555" s="17"/>
      <c r="H2555" s="7">
        <v>168</v>
      </c>
      <c r="I2555" s="7">
        <v>132.69999999999999</v>
      </c>
      <c r="J2555" s="7">
        <v>169.85</v>
      </c>
      <c r="K2555" s="7">
        <v>186.7</v>
      </c>
      <c r="L2555" s="17"/>
      <c r="M2555" s="7"/>
      <c r="N2555" s="7"/>
      <c r="O2555" s="70"/>
      <c r="Q2555" s="150" t="s">
        <v>129</v>
      </c>
      <c r="R2555" s="151"/>
      <c r="S2555" s="151"/>
      <c r="T2555" s="151"/>
      <c r="V2555" s="17"/>
      <c r="W2555" s="66">
        <v>0.52013888888888882</v>
      </c>
      <c r="X2555" s="7">
        <v>136.9</v>
      </c>
      <c r="Y2555" s="7">
        <v>114.5</v>
      </c>
      <c r="Z2555" s="66">
        <v>0.52013888888888882</v>
      </c>
    </row>
    <row r="2556" spans="2:26" x14ac:dyDescent="0.3">
      <c r="B2556" s="5">
        <f>B2557-50</f>
        <v>14600</v>
      </c>
      <c r="C2556" s="7">
        <v>116.2</v>
      </c>
      <c r="D2556" s="7">
        <v>79.650000000000006</v>
      </c>
      <c r="E2556" s="16"/>
      <c r="F2556" s="7">
        <f t="shared" si="219"/>
        <v>14679.65</v>
      </c>
      <c r="G2556" s="17"/>
      <c r="H2556" s="7">
        <v>139.44999999999999</v>
      </c>
      <c r="I2556" s="7">
        <v>108.1</v>
      </c>
      <c r="J2556" s="7">
        <v>140.35</v>
      </c>
      <c r="K2556" s="7">
        <v>155.94999999999999</v>
      </c>
      <c r="L2556" s="17"/>
      <c r="M2556" s="7"/>
      <c r="N2556" s="7"/>
      <c r="O2556" s="70"/>
      <c r="Q2556" s="159">
        <v>44312</v>
      </c>
      <c r="R2556" s="160">
        <v>14488.25</v>
      </c>
      <c r="S2556" s="160">
        <v>14538.25</v>
      </c>
      <c r="T2556" s="159">
        <v>44312</v>
      </c>
      <c r="V2556" s="17"/>
      <c r="W2556" s="66">
        <v>0.54097222222222219</v>
      </c>
      <c r="X2556" s="7">
        <v>151.80000000000001</v>
      </c>
      <c r="Y2556" s="7">
        <v>103.1</v>
      </c>
      <c r="Z2556" s="66">
        <v>0.54097222222222219</v>
      </c>
    </row>
    <row r="2557" spans="2:26" x14ac:dyDescent="0.3">
      <c r="B2557" s="97">
        <v>14650</v>
      </c>
      <c r="C2557" s="7">
        <v>94.1</v>
      </c>
      <c r="D2557" s="7">
        <v>62.35</v>
      </c>
      <c r="E2557" s="16"/>
      <c r="F2557" s="7">
        <f t="shared" si="219"/>
        <v>14712.35</v>
      </c>
      <c r="G2557" s="17"/>
      <c r="H2557" s="7">
        <v>113.85</v>
      </c>
      <c r="I2557" s="7">
        <v>88.9</v>
      </c>
      <c r="J2557" s="7">
        <v>114.25</v>
      </c>
      <c r="K2557" s="7">
        <v>128.4</v>
      </c>
      <c r="L2557" s="17"/>
      <c r="M2557" s="7"/>
      <c r="N2557" s="7"/>
      <c r="O2557" s="70"/>
      <c r="P2557" s="17"/>
      <c r="Q2557" s="159">
        <v>44313</v>
      </c>
      <c r="R2557" s="160">
        <v>14569.25</v>
      </c>
      <c r="S2557" s="160">
        <v>14649.25</v>
      </c>
      <c r="T2557" s="159">
        <v>44313</v>
      </c>
      <c r="V2557" s="17"/>
      <c r="W2557" s="66">
        <v>6.1805555555555558E-2</v>
      </c>
      <c r="X2557" s="7">
        <v>137.55000000000001</v>
      </c>
      <c r="Y2557" s="7">
        <v>112</v>
      </c>
      <c r="Z2557" s="66">
        <v>6.1805555555555558E-2</v>
      </c>
    </row>
    <row r="2558" spans="2:26" x14ac:dyDescent="0.3">
      <c r="B2558" s="5">
        <f>B2557+50</f>
        <v>14700</v>
      </c>
      <c r="C2558" s="51">
        <v>74.900000000000006</v>
      </c>
      <c r="D2558" s="7">
        <v>48.1</v>
      </c>
      <c r="E2558" s="16"/>
      <c r="F2558" s="98">
        <f t="shared" si="219"/>
        <v>14748.1</v>
      </c>
      <c r="G2558" s="16">
        <f>H2558-(H2555-H2556)</f>
        <v>63.049999999999983</v>
      </c>
      <c r="H2558" s="7">
        <v>91.6</v>
      </c>
      <c r="I2558" s="7">
        <v>68.150000000000006</v>
      </c>
      <c r="J2558" s="7">
        <v>90.95</v>
      </c>
      <c r="K2558" s="7">
        <v>103.1</v>
      </c>
      <c r="L2558" s="17"/>
      <c r="M2558" s="7"/>
      <c r="N2558" s="7"/>
      <c r="O2558" s="70"/>
      <c r="P2558" s="17"/>
      <c r="Q2558" s="159">
        <v>44316</v>
      </c>
      <c r="R2558" s="160">
        <v>14697</v>
      </c>
      <c r="S2558" s="160">
        <v>14860</v>
      </c>
      <c r="T2558" s="159">
        <v>44314</v>
      </c>
      <c r="V2558" s="17"/>
      <c r="W2558" s="66">
        <v>8.2638888888888887E-2</v>
      </c>
      <c r="X2558" s="7">
        <v>145.5</v>
      </c>
      <c r="Y2558" s="7">
        <v>103.75</v>
      </c>
      <c r="Z2558" s="66">
        <v>8.2638888888888887E-2</v>
      </c>
    </row>
    <row r="2559" spans="2:26" x14ac:dyDescent="0.3">
      <c r="B2559" s="99">
        <f>B2558+50</f>
        <v>14750</v>
      </c>
      <c r="C2559" s="7">
        <v>58.95</v>
      </c>
      <c r="D2559" s="7">
        <v>36.35</v>
      </c>
      <c r="E2559" s="16"/>
      <c r="F2559" s="7">
        <f t="shared" si="219"/>
        <v>14786.35</v>
      </c>
      <c r="G2559" s="17"/>
      <c r="H2559" s="7">
        <v>72.75</v>
      </c>
      <c r="I2559" s="7">
        <v>53.35</v>
      </c>
      <c r="J2559" s="7">
        <v>71.150000000000006</v>
      </c>
      <c r="K2559" s="7">
        <v>83.6</v>
      </c>
      <c r="L2559" s="17"/>
      <c r="M2559" s="7"/>
      <c r="N2559" s="7"/>
      <c r="O2559" s="70"/>
      <c r="P2559" s="17"/>
      <c r="Q2559" s="159">
        <v>44314</v>
      </c>
      <c r="R2559" s="161">
        <v>14740</v>
      </c>
      <c r="S2559" s="161">
        <v>14877</v>
      </c>
      <c r="T2559" s="159">
        <v>44316</v>
      </c>
      <c r="V2559" s="17"/>
    </row>
    <row r="2560" spans="2:26" x14ac:dyDescent="0.3">
      <c r="B2560" s="5">
        <f>B2559+50</f>
        <v>14800</v>
      </c>
      <c r="C2560" s="7">
        <v>45</v>
      </c>
      <c r="D2560" s="7">
        <v>27.05</v>
      </c>
      <c r="E2560" s="16">
        <f>E2561-(F2561-E2561)</f>
        <v>52.099999999999994</v>
      </c>
      <c r="F2560" s="7">
        <f t="shared" si="219"/>
        <v>14827.05</v>
      </c>
      <c r="G2560" s="16"/>
      <c r="H2560" s="7">
        <v>56.3</v>
      </c>
      <c r="I2560" s="7">
        <v>39.5</v>
      </c>
      <c r="J2560" s="7">
        <v>54.45</v>
      </c>
      <c r="K2560" s="7">
        <v>63.25</v>
      </c>
      <c r="L2560" s="17"/>
      <c r="M2560" s="7"/>
      <c r="N2560" s="7"/>
      <c r="O2560" s="70"/>
      <c r="P2560" s="17"/>
      <c r="Q2560" s="159">
        <v>44315</v>
      </c>
      <c r="R2560" s="161">
        <v>14812.3</v>
      </c>
      <c r="S2560" s="161">
        <v>14922.3</v>
      </c>
      <c r="T2560" s="159">
        <v>44315</v>
      </c>
      <c r="V2560" s="17"/>
    </row>
    <row r="2561" spans="2:26" x14ac:dyDescent="0.3">
      <c r="B2561" s="17"/>
      <c r="C2561" s="17"/>
      <c r="D2561" s="16"/>
      <c r="E2561" s="16">
        <f>F2561-(G2561-F2561)</f>
        <v>71.55</v>
      </c>
      <c r="F2561" s="16">
        <f>AVERAGE(C2557,C2570)</f>
        <v>91</v>
      </c>
      <c r="G2561" s="16">
        <f>AVERAGE(C2556,C2569)</f>
        <v>110.45</v>
      </c>
      <c r="H2561" s="7"/>
      <c r="I2561" s="7"/>
      <c r="J2561" s="7"/>
      <c r="K2561" s="7"/>
      <c r="L2561" s="17"/>
      <c r="M2561" s="17"/>
      <c r="N2561" s="17"/>
      <c r="O2561" s="17"/>
      <c r="P2561" s="17"/>
      <c r="V2561" s="16"/>
    </row>
    <row r="2562" spans="2:26" x14ac:dyDescent="0.3">
      <c r="B2562" s="17"/>
      <c r="C2562" s="17"/>
      <c r="D2562" s="16"/>
      <c r="E2562" s="16"/>
      <c r="F2562" s="16"/>
      <c r="G2562" s="16"/>
      <c r="H2562" s="40"/>
      <c r="I2562" s="17"/>
      <c r="J2562" s="17"/>
      <c r="L2562" s="17"/>
      <c r="P2562" s="17"/>
      <c r="Q2562" s="17"/>
      <c r="R2562" s="17"/>
      <c r="S2562" s="17"/>
      <c r="T2562" s="17"/>
      <c r="U2562" s="16"/>
      <c r="V2562" s="16"/>
      <c r="W2562" s="90" t="s">
        <v>68</v>
      </c>
      <c r="X2562" s="119" t="s">
        <v>69</v>
      </c>
      <c r="Y2562" s="92" t="s">
        <v>70</v>
      </c>
      <c r="Z2562" s="90" t="s">
        <v>68</v>
      </c>
    </row>
    <row r="2563" spans="2:26" x14ac:dyDescent="0.3">
      <c r="B2563" s="17"/>
      <c r="C2563" s="17"/>
      <c r="D2563" s="16"/>
      <c r="E2563" s="16"/>
      <c r="F2563" s="16"/>
      <c r="G2563" s="16"/>
      <c r="H2563" s="101"/>
      <c r="I2563" s="101"/>
      <c r="J2563" s="101"/>
      <c r="K2563" s="101"/>
      <c r="L2563" s="17"/>
      <c r="M2563" s="101"/>
      <c r="N2563" s="101"/>
      <c r="O2563" s="101"/>
      <c r="P2563" s="17"/>
      <c r="Q2563" s="17"/>
      <c r="R2563" s="17"/>
      <c r="S2563" s="17"/>
      <c r="T2563" s="17"/>
      <c r="U2563" s="16"/>
      <c r="V2563" s="16"/>
      <c r="W2563" s="66">
        <v>0.41597222222222219</v>
      </c>
      <c r="X2563" s="7">
        <v>74.900000000000006</v>
      </c>
      <c r="Y2563" s="7">
        <v>73.400000000000006</v>
      </c>
      <c r="Z2563" s="66">
        <v>0.41597222222222219</v>
      </c>
    </row>
    <row r="2564" spans="2:26" x14ac:dyDescent="0.3">
      <c r="B2564" s="17"/>
      <c r="C2564" s="95">
        <v>44322</v>
      </c>
      <c r="D2564" s="17"/>
      <c r="F2564" s="16"/>
      <c r="H2564" s="66">
        <v>5.2083333333333336E-2</v>
      </c>
      <c r="I2564" s="66">
        <v>5.6250000000000001E-2</v>
      </c>
      <c r="J2564" s="66">
        <v>0.10208333333333335</v>
      </c>
      <c r="K2564" s="66">
        <v>0.13541666666666666</v>
      </c>
      <c r="L2564" s="17"/>
      <c r="M2564" s="66"/>
      <c r="N2564" s="66"/>
      <c r="O2564" s="68"/>
      <c r="P2564" s="17"/>
      <c r="Q2564" s="150" t="s">
        <v>72</v>
      </c>
      <c r="R2564" s="151"/>
      <c r="S2564" s="151"/>
      <c r="T2564" s="151"/>
      <c r="U2564" s="152"/>
      <c r="V2564" s="17"/>
      <c r="W2564" s="66">
        <v>0.4368055555555555</v>
      </c>
      <c r="X2564" s="7">
        <v>66.599999999999994</v>
      </c>
      <c r="Y2564" s="7">
        <v>75.849999999999994</v>
      </c>
      <c r="Z2564" s="66">
        <v>0.4368055555555555</v>
      </c>
    </row>
    <row r="2565" spans="2:26" x14ac:dyDescent="0.3">
      <c r="B2565" s="90" t="s">
        <v>68</v>
      </c>
      <c r="C2565" s="66">
        <v>0.41666666666666669</v>
      </c>
      <c r="D2565" s="66">
        <v>0.40833333333333338</v>
      </c>
      <c r="E2565" s="16">
        <f>F2565-(G2565-F2565)</f>
        <v>71.55</v>
      </c>
      <c r="F2565" s="16">
        <f>AVERAGE(C2570,C2557)</f>
        <v>91</v>
      </c>
      <c r="G2565" s="16">
        <f>AVERAGE(C2569,C2556)</f>
        <v>110.45</v>
      </c>
      <c r="H2565" s="7">
        <v>14644.95</v>
      </c>
      <c r="I2565" s="7">
        <v>14586.55</v>
      </c>
      <c r="J2565" s="7">
        <v>14661.5</v>
      </c>
      <c r="K2565" s="7">
        <v>14680</v>
      </c>
      <c r="L2565" s="17"/>
      <c r="M2565" s="7"/>
      <c r="N2565" s="7"/>
      <c r="O2565" s="70"/>
      <c r="P2565" s="17"/>
      <c r="Q2565" s="34"/>
      <c r="R2565" s="34" t="s">
        <v>111</v>
      </c>
      <c r="S2565" s="34" t="s">
        <v>2</v>
      </c>
      <c r="T2565" s="34" t="s">
        <v>1</v>
      </c>
      <c r="U2565" s="34" t="s">
        <v>111</v>
      </c>
      <c r="V2565" s="17"/>
      <c r="W2565" s="66">
        <v>0.45763888888888887</v>
      </c>
      <c r="X2565" s="7">
        <v>75</v>
      </c>
      <c r="Y2565" s="7">
        <v>65.849999999999994</v>
      </c>
      <c r="Z2565" s="66">
        <v>0.45763888888888887</v>
      </c>
    </row>
    <row r="2566" spans="2:26" x14ac:dyDescent="0.3">
      <c r="B2566" s="5">
        <f>B2567+50</f>
        <v>14600</v>
      </c>
      <c r="C2566" s="7">
        <v>169.3</v>
      </c>
      <c r="D2566" s="7">
        <v>160.94999999999999</v>
      </c>
      <c r="E2566" s="16">
        <f>E2565-(F2565-E2565)</f>
        <v>52.099999999999994</v>
      </c>
      <c r="F2566" s="7">
        <f t="shared" ref="F2566:F2571" si="220">B2566-D2566</f>
        <v>14439.05</v>
      </c>
      <c r="G2566" s="16"/>
      <c r="H2566" s="7">
        <v>133.1</v>
      </c>
      <c r="I2566" s="7">
        <v>162.69999999999999</v>
      </c>
      <c r="J2566" s="7">
        <v>121.1</v>
      </c>
      <c r="K2566" s="7">
        <v>117.5</v>
      </c>
      <c r="L2566" s="17"/>
      <c r="M2566" s="7"/>
      <c r="N2566" s="7"/>
      <c r="O2566" s="70"/>
      <c r="P2566" s="17"/>
      <c r="Q2566" s="7">
        <f>(U2566*T2566)-(R2566*S2566)</f>
        <v>862.5</v>
      </c>
      <c r="R2566" s="109">
        <v>75</v>
      </c>
      <c r="S2566" s="7">
        <v>91.6</v>
      </c>
      <c r="T2566" s="18">
        <v>103.1</v>
      </c>
      <c r="U2566" s="109">
        <f>R2566</f>
        <v>75</v>
      </c>
      <c r="V2566" s="16"/>
      <c r="W2566" s="66">
        <v>0.47847222222222219</v>
      </c>
      <c r="X2566" s="7">
        <v>72.900000000000006</v>
      </c>
      <c r="Y2566" s="7">
        <v>64.7</v>
      </c>
      <c r="Z2566" s="66">
        <v>0.47847222222222219</v>
      </c>
    </row>
    <row r="2567" spans="2:26" x14ac:dyDescent="0.3">
      <c r="B2567" s="5">
        <f>B2568+50</f>
        <v>14550</v>
      </c>
      <c r="C2567" s="7">
        <v>144.19999999999999</v>
      </c>
      <c r="D2567" s="7">
        <v>137.19999999999999</v>
      </c>
      <c r="E2567" s="16"/>
      <c r="F2567" s="7">
        <f t="shared" si="220"/>
        <v>14412.8</v>
      </c>
      <c r="G2567" s="17"/>
      <c r="H2567" s="7">
        <v>112.4</v>
      </c>
      <c r="I2567" s="7">
        <v>138.30000000000001</v>
      </c>
      <c r="J2567" s="7">
        <v>100.95</v>
      </c>
      <c r="K2567" s="7">
        <v>98.5</v>
      </c>
      <c r="L2567" s="17"/>
      <c r="M2567" s="7"/>
      <c r="N2567" s="7"/>
      <c r="O2567" s="70"/>
      <c r="P2567" s="17"/>
      <c r="Q2567" s="7">
        <f>(U2567*T2567)-(R2567*S2567)</f>
        <v>862.5</v>
      </c>
      <c r="R2567" s="109">
        <v>75</v>
      </c>
      <c r="S2567" s="7">
        <v>91.6</v>
      </c>
      <c r="T2567" s="18">
        <v>103.1</v>
      </c>
      <c r="U2567" s="109">
        <f>R2567</f>
        <v>75</v>
      </c>
      <c r="V2567" s="16"/>
      <c r="W2567" s="66">
        <v>0.4993055555555555</v>
      </c>
      <c r="X2567" s="7">
        <v>72.099999999999994</v>
      </c>
      <c r="Y2567" s="7">
        <v>64.099999999999994</v>
      </c>
      <c r="Z2567" s="66">
        <v>0.4993055555555555</v>
      </c>
    </row>
    <row r="2568" spans="2:26" x14ac:dyDescent="0.3">
      <c r="B2568" s="97">
        <v>14500</v>
      </c>
      <c r="C2568" s="7">
        <v>123.8</v>
      </c>
      <c r="D2568" s="7">
        <v>117.1</v>
      </c>
      <c r="E2568" s="16"/>
      <c r="F2568" s="7">
        <f t="shared" si="220"/>
        <v>14382.9</v>
      </c>
      <c r="G2568" s="17"/>
      <c r="H2568" s="7">
        <v>94.45</v>
      </c>
      <c r="I2568" s="7">
        <v>116.35</v>
      </c>
      <c r="J2568" s="7">
        <v>83.25</v>
      </c>
      <c r="K2568" s="7">
        <v>81.25</v>
      </c>
      <c r="L2568" s="17"/>
      <c r="M2568" s="7"/>
      <c r="N2568" s="7"/>
      <c r="O2568" s="70"/>
      <c r="P2568" s="17"/>
      <c r="Q2568" s="7">
        <f>(U2568*T2568)-(R2568*S2568)</f>
        <v>0</v>
      </c>
      <c r="R2568" s="109"/>
      <c r="S2568" s="18"/>
      <c r="T2568" s="18"/>
      <c r="U2568" s="109">
        <f>R2568</f>
        <v>0</v>
      </c>
      <c r="V2568" s="17"/>
      <c r="W2568" s="66">
        <v>0.52013888888888882</v>
      </c>
      <c r="X2568" s="7">
        <v>70.55</v>
      </c>
      <c r="Y2568" s="7">
        <v>66.900000000000006</v>
      </c>
      <c r="Z2568" s="66">
        <v>0.52013888888888882</v>
      </c>
    </row>
    <row r="2569" spans="2:26" x14ac:dyDescent="0.3">
      <c r="B2569" s="14">
        <f>B2568-50</f>
        <v>14450</v>
      </c>
      <c r="C2569" s="7">
        <v>104.7</v>
      </c>
      <c r="D2569" s="7">
        <v>99.15</v>
      </c>
      <c r="E2569" s="16"/>
      <c r="F2569" s="98">
        <f t="shared" si="220"/>
        <v>14350.85</v>
      </c>
      <c r="G2569" s="17"/>
      <c r="H2569" s="7">
        <v>78.7</v>
      </c>
      <c r="I2569" s="7">
        <v>97.9</v>
      </c>
      <c r="J2569" s="7">
        <v>68.400000000000006</v>
      </c>
      <c r="K2569" s="7">
        <v>66.7</v>
      </c>
      <c r="L2569" s="17"/>
      <c r="M2569" s="7"/>
      <c r="N2569" s="7"/>
      <c r="O2569" s="70"/>
      <c r="P2569" s="17"/>
      <c r="Q2569" s="7">
        <f>(U2569*T2569)-(R2569*S2569)</f>
        <v>0</v>
      </c>
      <c r="R2569" s="109"/>
      <c r="S2569" s="18"/>
      <c r="T2569" s="18"/>
      <c r="U2569" s="109">
        <f>R2569</f>
        <v>0</v>
      </c>
      <c r="V2569" s="17"/>
      <c r="W2569" s="66">
        <v>0.54097222222222219</v>
      </c>
      <c r="X2569" s="7">
        <v>79.150000000000006</v>
      </c>
      <c r="Y2569" s="7">
        <v>59.25</v>
      </c>
      <c r="Z2569" s="66">
        <v>0.54097222222222219</v>
      </c>
    </row>
    <row r="2570" spans="2:26" x14ac:dyDescent="0.3">
      <c r="B2570" s="99">
        <f>B2569-50</f>
        <v>14400</v>
      </c>
      <c r="C2570" s="7">
        <v>87.9</v>
      </c>
      <c r="D2570" s="7">
        <v>83.25</v>
      </c>
      <c r="E2570" s="16"/>
      <c r="F2570" s="7">
        <f t="shared" si="220"/>
        <v>14316.75</v>
      </c>
      <c r="G2570" s="17"/>
      <c r="H2570" s="7">
        <v>64.599999999999994</v>
      </c>
      <c r="I2570" s="7">
        <v>81.2</v>
      </c>
      <c r="J2570" s="7">
        <v>55.1</v>
      </c>
      <c r="K2570" s="7">
        <v>54.4</v>
      </c>
      <c r="L2570" s="17"/>
      <c r="M2570" s="7"/>
      <c r="N2570" s="7"/>
      <c r="O2570" s="70"/>
      <c r="P2570" s="17"/>
      <c r="Q2570" s="7">
        <f>SUM(Q2566:Q2569)</f>
        <v>1725</v>
      </c>
      <c r="R2570" s="7">
        <f>SUM(R2566:R2569)</f>
        <v>150</v>
      </c>
      <c r="S2570" s="109">
        <f>R2570-U2570</f>
        <v>0</v>
      </c>
      <c r="T2570" s="114" t="e">
        <f>Q2570/S2570</f>
        <v>#DIV/0!</v>
      </c>
      <c r="U2570" s="7">
        <f>SUM(U2566:U2569)</f>
        <v>150</v>
      </c>
      <c r="V2570" s="17"/>
      <c r="W2570" s="66">
        <v>6.1805555555555558E-2</v>
      </c>
      <c r="X2570" s="7">
        <v>70.7</v>
      </c>
      <c r="Y2570" s="7">
        <v>64.2</v>
      </c>
      <c r="Z2570" s="66">
        <v>6.1805555555555558E-2</v>
      </c>
    </row>
    <row r="2571" spans="2:26" x14ac:dyDescent="0.3">
      <c r="B2571" s="5">
        <f>B2570-50</f>
        <v>14350</v>
      </c>
      <c r="C2571" s="51">
        <v>73.400000000000006</v>
      </c>
      <c r="D2571" s="7">
        <v>69.5</v>
      </c>
      <c r="E2571" s="16"/>
      <c r="F2571" s="7">
        <f t="shared" si="220"/>
        <v>14280.5</v>
      </c>
      <c r="G2571" s="16"/>
      <c r="H2571" s="7">
        <v>52.95</v>
      </c>
      <c r="I2571" s="7">
        <v>67.75</v>
      </c>
      <c r="J2571" s="7">
        <v>44.3</v>
      </c>
      <c r="K2571" s="7">
        <v>44.3</v>
      </c>
      <c r="L2571" s="17"/>
      <c r="M2571" s="7"/>
      <c r="N2571" s="7"/>
      <c r="O2571" s="70"/>
      <c r="W2571" s="66">
        <v>8.2638888888888887E-2</v>
      </c>
      <c r="X2571" s="7">
        <v>75.05</v>
      </c>
      <c r="Y2571" s="7">
        <v>58.85</v>
      </c>
      <c r="Z2571" s="66">
        <v>8.2638888888888887E-2</v>
      </c>
    </row>
    <row r="2572" spans="2:26" x14ac:dyDescent="0.3">
      <c r="C2572" s="76">
        <v>60.5</v>
      </c>
      <c r="D2572" s="76">
        <v>57.5</v>
      </c>
      <c r="H2572" s="7">
        <v>42.65</v>
      </c>
      <c r="I2572" s="7">
        <v>55.4</v>
      </c>
      <c r="J2572" s="7">
        <v>35.35</v>
      </c>
      <c r="K2572" s="7">
        <v>35.549999999999997</v>
      </c>
      <c r="L2572" s="17"/>
      <c r="M2572" s="17"/>
      <c r="N2572" s="17"/>
      <c r="O2572" s="17"/>
      <c r="P2572" s="98">
        <f>Q2570</f>
        <v>1725</v>
      </c>
      <c r="Q2572" s="92" t="s">
        <v>72</v>
      </c>
      <c r="R2572" s="17"/>
      <c r="T2572" s="92" t="s">
        <v>73</v>
      </c>
      <c r="U2572" s="7">
        <f>((X2564+Y2564)-(X2572+Y2572))</f>
        <v>8.1999999999999886</v>
      </c>
      <c r="V2572" s="98">
        <f>U2572*150</f>
        <v>1229.9999999999982</v>
      </c>
      <c r="W2572" s="66">
        <v>5.2083333333333336E-2</v>
      </c>
      <c r="X2572" s="23">
        <v>91.6</v>
      </c>
      <c r="Y2572" s="7">
        <v>42.65</v>
      </c>
      <c r="Z2572" s="66">
        <v>5.2083333333333336E-2</v>
      </c>
    </row>
    <row r="2573" spans="2:26" x14ac:dyDescent="0.3">
      <c r="D2573" s="101"/>
    </row>
    <row r="2582" spans="2:26" x14ac:dyDescent="0.3">
      <c r="B2582" s="40"/>
      <c r="C2582" s="50">
        <f>AVERAGE(B2583,D2582)</f>
        <v>14738.25</v>
      </c>
      <c r="D2582" s="51">
        <f>B2583+E2583</f>
        <v>14778.25</v>
      </c>
      <c r="E2582" s="50">
        <f>AVERAGE(D2582,F2582)</f>
        <v>14818.25</v>
      </c>
      <c r="F2582" s="50">
        <f>D2582+E2583</f>
        <v>14858.25</v>
      </c>
      <c r="G2582" s="17"/>
      <c r="H2582" s="88" t="str">
        <f>IF((C2591-D2591)&gt;(C2602-D2602),"LONG",IF(C2602&gt;D2600,"LONG","SHORT"))</f>
        <v>SHORT</v>
      </c>
      <c r="I2582" s="104">
        <v>14625</v>
      </c>
      <c r="J2582" s="120" t="s">
        <v>122</v>
      </c>
      <c r="K2582" s="106">
        <v>14765</v>
      </c>
      <c r="L2582" s="17"/>
      <c r="N2582" s="17"/>
      <c r="O2582" s="17"/>
      <c r="U2582" s="17"/>
      <c r="V2582" s="17"/>
    </row>
    <row r="2583" spans="2:26" x14ac:dyDescent="0.3">
      <c r="B2583" s="50">
        <v>14698.25</v>
      </c>
      <c r="C2583" s="40"/>
      <c r="D2583" s="58"/>
      <c r="E2583" s="59">
        <f>ROUND((((B2583*F2583%)/4)/10),0)*10</f>
        <v>80</v>
      </c>
      <c r="F2583" s="51">
        <f>(100/B2583)*(F2592-F2603)</f>
        <v>2.1322266256186935</v>
      </c>
      <c r="G2583" s="17"/>
      <c r="H2583" s="93">
        <v>0.39166666666666666</v>
      </c>
      <c r="I2583" s="93">
        <v>0.39861111111111108</v>
      </c>
      <c r="J2583" s="93">
        <v>0.4055555555555555</v>
      </c>
      <c r="K2583" s="93">
        <v>0.41250000000000003</v>
      </c>
      <c r="M2583" s="50">
        <v>11859</v>
      </c>
      <c r="N2583" s="17"/>
      <c r="O2583" s="17"/>
      <c r="U2583" s="17"/>
      <c r="V2583" s="17"/>
      <c r="W2583" s="90" t="s">
        <v>68</v>
      </c>
      <c r="X2583" s="119" t="s">
        <v>69</v>
      </c>
      <c r="Y2583" s="92" t="s">
        <v>70</v>
      </c>
      <c r="Z2583" s="90" t="s">
        <v>68</v>
      </c>
    </row>
    <row r="2584" spans="2:26" x14ac:dyDescent="0.3">
      <c r="B2584" s="40"/>
      <c r="C2584" s="50">
        <f>AVERAGE(B2583,D2584)</f>
        <v>14658.25</v>
      </c>
      <c r="D2584" s="51">
        <f>B2583-E2583</f>
        <v>14618.25</v>
      </c>
      <c r="E2584" s="50">
        <f>AVERAGE(D2584,F2584)</f>
        <v>14578.25</v>
      </c>
      <c r="F2584" s="50">
        <f>D2584-E2583</f>
        <v>14538.25</v>
      </c>
      <c r="G2584" s="17"/>
      <c r="H2584" s="51">
        <v>14727.9</v>
      </c>
      <c r="I2584" s="51">
        <v>14733.2</v>
      </c>
      <c r="J2584" s="51">
        <v>14670.45</v>
      </c>
      <c r="K2584" s="51">
        <v>14665</v>
      </c>
      <c r="L2584" s="17"/>
      <c r="N2584" s="17"/>
      <c r="O2584" s="17"/>
      <c r="Q2584" s="17"/>
      <c r="R2584" s="17"/>
      <c r="S2584" s="17"/>
      <c r="T2584" s="16"/>
      <c r="U2584" s="17"/>
      <c r="V2584" s="17"/>
      <c r="W2584" s="66">
        <v>0.41597222222222219</v>
      </c>
      <c r="X2584" s="7">
        <v>118.45</v>
      </c>
      <c r="Y2584" s="7">
        <v>135.69999999999999</v>
      </c>
      <c r="Z2584" s="66">
        <v>0.41597222222222219</v>
      </c>
    </row>
    <row r="2585" spans="2:26" x14ac:dyDescent="0.3">
      <c r="B2585" s="17"/>
      <c r="C2585" s="17"/>
      <c r="D2585" s="17"/>
      <c r="E2585" s="17"/>
      <c r="F2585" s="16"/>
      <c r="G2585" s="16"/>
      <c r="H2585" s="17"/>
      <c r="I2585" s="17"/>
      <c r="J2585" s="17"/>
      <c r="K2585" s="16"/>
      <c r="L2585" s="17"/>
      <c r="M2585" s="17"/>
      <c r="N2585" s="17"/>
      <c r="O2585" s="17"/>
      <c r="Q2585" s="17"/>
      <c r="R2585" s="17"/>
      <c r="S2585" s="17"/>
      <c r="T2585" s="17"/>
      <c r="U2585" s="17"/>
      <c r="V2585" s="17"/>
      <c r="W2585" s="66">
        <v>0.4368055555555555</v>
      </c>
      <c r="X2585" s="7">
        <v>113.3</v>
      </c>
      <c r="Y2585" s="7">
        <v>140</v>
      </c>
      <c r="Z2585" s="66">
        <v>0.4368055555555555</v>
      </c>
    </row>
    <row r="2586" spans="2:26" x14ac:dyDescent="0.3">
      <c r="B2586" s="16"/>
      <c r="C2586" s="17"/>
      <c r="D2586" s="17"/>
      <c r="E2586" s="17"/>
      <c r="F2586" s="17"/>
      <c r="G2586" s="17"/>
      <c r="H2586" s="17"/>
      <c r="I2586" s="17"/>
      <c r="J2586" s="17"/>
      <c r="K2586" s="17"/>
      <c r="L2586" s="16"/>
      <c r="M2586" s="17"/>
      <c r="N2586" s="17"/>
      <c r="O2586" s="17"/>
      <c r="Q2586" s="17"/>
      <c r="R2586" s="17"/>
      <c r="S2586" s="17"/>
      <c r="T2586" s="17"/>
      <c r="U2586" s="17"/>
      <c r="V2586" s="17"/>
      <c r="W2586" s="66">
        <v>0.45763888888888887</v>
      </c>
      <c r="X2586" s="7">
        <v>119.5</v>
      </c>
      <c r="Y2586" s="7">
        <v>132</v>
      </c>
      <c r="Z2586" s="66">
        <v>0.45763888888888887</v>
      </c>
    </row>
    <row r="2587" spans="2:26" x14ac:dyDescent="0.3">
      <c r="B2587" s="17"/>
      <c r="C2587" s="95">
        <v>44320</v>
      </c>
      <c r="D2587" s="17"/>
      <c r="E2587" s="17"/>
      <c r="F2587" s="7">
        <f>AVERAGE(F2589,F2600)</f>
        <v>14682.825000000001</v>
      </c>
      <c r="G2587" s="96"/>
      <c r="H2587" s="66">
        <v>4.4444444444444446E-2</v>
      </c>
      <c r="I2587" s="66">
        <v>5.2083333333333336E-2</v>
      </c>
      <c r="J2587" s="66">
        <v>7.8472222222222221E-2</v>
      </c>
      <c r="K2587" s="66">
        <v>0.13541666666666666</v>
      </c>
      <c r="M2587" s="66">
        <v>0.48402777777777778</v>
      </c>
      <c r="N2587" s="66">
        <v>4.5138888888888888E-2</v>
      </c>
      <c r="O2587" s="68"/>
      <c r="Q2587" s="17"/>
      <c r="R2587" s="17"/>
      <c r="S2587" s="17"/>
      <c r="T2587" s="17"/>
      <c r="U2587" s="17"/>
      <c r="V2587" s="17"/>
      <c r="W2587" s="66">
        <v>0.47847222222222219</v>
      </c>
      <c r="X2587" s="7">
        <v>129.35</v>
      </c>
      <c r="Y2587" s="7">
        <v>119</v>
      </c>
      <c r="Z2587" s="66">
        <v>0.47847222222222219</v>
      </c>
    </row>
    <row r="2588" spans="2:26" x14ac:dyDescent="0.3">
      <c r="B2588" s="90" t="s">
        <v>68</v>
      </c>
      <c r="C2588" s="66">
        <v>0.41666666666666669</v>
      </c>
      <c r="D2588" s="66">
        <v>0.4069444444444445</v>
      </c>
      <c r="E2588" s="17"/>
      <c r="F2588" s="17"/>
      <c r="G2588" s="17"/>
      <c r="H2588" s="7">
        <v>14659.05</v>
      </c>
      <c r="I2588" s="7">
        <v>14608.2</v>
      </c>
      <c r="J2588" s="7">
        <v>14675</v>
      </c>
      <c r="K2588" s="7">
        <v>14556.9</v>
      </c>
      <c r="M2588" s="7">
        <v>14749.75</v>
      </c>
      <c r="N2588" s="23">
        <v>40.85</v>
      </c>
      <c r="O2588" s="162"/>
      <c r="R2588" s="158" t="s">
        <v>130</v>
      </c>
      <c r="S2588" s="158"/>
      <c r="U2588" s="17"/>
      <c r="V2588" s="17"/>
      <c r="W2588" s="66">
        <v>0.4993055555555555</v>
      </c>
      <c r="X2588" s="7">
        <v>139.94999999999999</v>
      </c>
      <c r="Y2588" s="7">
        <v>108</v>
      </c>
      <c r="Z2588" s="66">
        <v>0.4993055555555555</v>
      </c>
    </row>
    <row r="2589" spans="2:26" x14ac:dyDescent="0.3">
      <c r="B2589" s="5">
        <f>B2590-50</f>
        <v>14650</v>
      </c>
      <c r="C2589" s="7">
        <v>118.45</v>
      </c>
      <c r="D2589" s="7">
        <v>97.95</v>
      </c>
      <c r="E2589" s="16"/>
      <c r="F2589" s="7">
        <f t="shared" ref="F2589:F2594" si="221">B2589+D2589</f>
        <v>14747.95</v>
      </c>
      <c r="G2589" s="17"/>
      <c r="H2589" s="7">
        <v>97.75</v>
      </c>
      <c r="I2589" s="7">
        <v>76.349999999999994</v>
      </c>
      <c r="J2589" s="7">
        <v>101.2</v>
      </c>
      <c r="K2589" s="7">
        <v>50.2</v>
      </c>
      <c r="M2589" s="7">
        <v>141.85</v>
      </c>
      <c r="N2589" s="7">
        <v>101.4</v>
      </c>
      <c r="O2589" s="70"/>
      <c r="Q2589" s="150" t="s">
        <v>129</v>
      </c>
      <c r="R2589" s="151"/>
      <c r="S2589" s="151"/>
      <c r="T2589" s="151"/>
      <c r="V2589" s="17"/>
      <c r="W2589" s="66">
        <v>0.52013888888888882</v>
      </c>
      <c r="X2589" s="7">
        <v>130.94999999999999</v>
      </c>
      <c r="Y2589" s="7">
        <v>111.5</v>
      </c>
      <c r="Z2589" s="66">
        <v>0.52013888888888882</v>
      </c>
    </row>
    <row r="2590" spans="2:26" x14ac:dyDescent="0.3">
      <c r="B2590" s="5">
        <f>B2591-50</f>
        <v>14700</v>
      </c>
      <c r="C2590" s="7">
        <v>93.85</v>
      </c>
      <c r="D2590" s="7">
        <v>76.8</v>
      </c>
      <c r="E2590" s="16"/>
      <c r="F2590" s="7">
        <f t="shared" si="221"/>
        <v>14776.8</v>
      </c>
      <c r="G2590" s="16"/>
      <c r="H2590" s="7">
        <v>75.5</v>
      </c>
      <c r="I2590" s="7">
        <v>58.25</v>
      </c>
      <c r="J2590" s="7">
        <v>77.5</v>
      </c>
      <c r="K2590" s="7">
        <v>36.799999999999997</v>
      </c>
      <c r="M2590" s="7">
        <v>113.2</v>
      </c>
      <c r="N2590" s="7">
        <v>78.75</v>
      </c>
      <c r="O2590" s="70"/>
      <c r="Q2590" s="159">
        <v>44313</v>
      </c>
      <c r="R2590" s="160">
        <v>14569.25</v>
      </c>
      <c r="S2590" s="160">
        <v>14649.25</v>
      </c>
      <c r="T2590" s="159">
        <v>44313</v>
      </c>
      <c r="V2590" s="17"/>
      <c r="W2590" s="66">
        <v>0.54097222222222219</v>
      </c>
      <c r="X2590" s="7">
        <v>124</v>
      </c>
      <c r="Y2590" s="7">
        <v>119.95</v>
      </c>
      <c r="Z2590" s="66">
        <v>0.54097222222222219</v>
      </c>
    </row>
    <row r="2591" spans="2:26" x14ac:dyDescent="0.3">
      <c r="B2591" s="97">
        <v>14750</v>
      </c>
      <c r="C2591" s="7">
        <v>73.05</v>
      </c>
      <c r="D2591" s="7">
        <v>59.1</v>
      </c>
      <c r="E2591" s="16"/>
      <c r="F2591" s="7">
        <f t="shared" si="221"/>
        <v>14809.1</v>
      </c>
      <c r="G2591" s="76"/>
      <c r="H2591" s="7">
        <v>57.45</v>
      </c>
      <c r="I2591" s="7">
        <v>43.95</v>
      </c>
      <c r="J2591" s="7">
        <v>58.15</v>
      </c>
      <c r="K2591" s="7">
        <v>26.8</v>
      </c>
      <c r="M2591" s="7">
        <v>88</v>
      </c>
      <c r="N2591" s="7">
        <v>60</v>
      </c>
      <c r="O2591" s="70"/>
      <c r="Q2591" s="159">
        <v>44319</v>
      </c>
      <c r="R2591" s="160">
        <v>14584</v>
      </c>
      <c r="S2591" s="160">
        <v>14734</v>
      </c>
      <c r="T2591" s="159">
        <v>44319</v>
      </c>
      <c r="V2591" s="17"/>
      <c r="W2591" s="66">
        <v>6.1805555555555558E-2</v>
      </c>
      <c r="X2591" s="7">
        <v>90.75</v>
      </c>
      <c r="Y2591" s="7">
        <v>161.80000000000001</v>
      </c>
      <c r="Z2591" s="66">
        <v>6.1805555555555558E-2</v>
      </c>
    </row>
    <row r="2592" spans="2:26" x14ac:dyDescent="0.3">
      <c r="B2592" s="5">
        <f>B2591+50</f>
        <v>14800</v>
      </c>
      <c r="C2592" s="51">
        <v>55.4</v>
      </c>
      <c r="D2592" s="23">
        <v>44.4</v>
      </c>
      <c r="E2592" s="16"/>
      <c r="F2592" s="98">
        <f t="shared" si="221"/>
        <v>14844.4</v>
      </c>
      <c r="G2592" s="16"/>
      <c r="H2592" s="7">
        <v>42.45</v>
      </c>
      <c r="I2592" s="7">
        <v>32.25</v>
      </c>
      <c r="J2592" s="7">
        <v>42.2</v>
      </c>
      <c r="K2592" s="7">
        <v>19.100000000000001</v>
      </c>
      <c r="M2592" s="7">
        <v>66.8</v>
      </c>
      <c r="N2592" s="7">
        <v>44.3</v>
      </c>
      <c r="O2592" s="70"/>
      <c r="Q2592" s="159">
        <v>44316</v>
      </c>
      <c r="R2592" s="161">
        <v>14697</v>
      </c>
      <c r="S2592" s="161">
        <v>14860</v>
      </c>
      <c r="T2592" s="159">
        <v>44314</v>
      </c>
      <c r="V2592" s="17"/>
      <c r="W2592" s="66">
        <v>8.2638888888888887E-2</v>
      </c>
      <c r="X2592" s="7">
        <v>94.5</v>
      </c>
      <c r="Y2592" s="7">
        <v>151.5</v>
      </c>
      <c r="Z2592" s="66">
        <v>8.2638888888888887E-2</v>
      </c>
    </row>
    <row r="2593" spans="2:26" x14ac:dyDescent="0.3">
      <c r="B2593" s="99">
        <f>B2592+50</f>
        <v>14850</v>
      </c>
      <c r="C2593" s="7">
        <v>40.85</v>
      </c>
      <c r="D2593" s="7">
        <v>32.85</v>
      </c>
      <c r="E2593" s="16"/>
      <c r="F2593" s="7">
        <f t="shared" si="221"/>
        <v>14882.85</v>
      </c>
      <c r="G2593" s="16"/>
      <c r="H2593" s="7">
        <v>31.05</v>
      </c>
      <c r="I2593" s="7">
        <v>23.8</v>
      </c>
      <c r="J2593" s="7">
        <v>30.4</v>
      </c>
      <c r="K2593" s="7">
        <v>13.65</v>
      </c>
      <c r="M2593" s="7">
        <v>49.25</v>
      </c>
      <c r="N2593" s="7">
        <v>32.299999999999997</v>
      </c>
      <c r="O2593" s="70"/>
      <c r="Q2593" s="159">
        <v>44314</v>
      </c>
      <c r="R2593" s="161">
        <v>14740</v>
      </c>
      <c r="S2593" s="161">
        <v>14877</v>
      </c>
      <c r="T2593" s="159">
        <v>44316</v>
      </c>
      <c r="V2593" s="17"/>
    </row>
    <row r="2594" spans="2:26" x14ac:dyDescent="0.3">
      <c r="B2594" s="5">
        <f>B2593+50</f>
        <v>14900</v>
      </c>
      <c r="C2594" s="7">
        <v>29.95</v>
      </c>
      <c r="D2594" s="7">
        <v>23.9</v>
      </c>
      <c r="E2594" s="16">
        <f>E2595-(F2595-E2595)</f>
        <v>32.949999999999989</v>
      </c>
      <c r="F2594" s="7">
        <f t="shared" si="221"/>
        <v>14923.9</v>
      </c>
      <c r="G2594" s="16"/>
      <c r="H2594" s="7">
        <v>22.45</v>
      </c>
      <c r="I2594" s="7">
        <v>17.399999999999999</v>
      </c>
      <c r="J2594" s="7">
        <v>21.4</v>
      </c>
      <c r="K2594" s="7">
        <v>9.9</v>
      </c>
      <c r="M2594" s="7">
        <v>35.4</v>
      </c>
      <c r="N2594" s="7">
        <v>23.35</v>
      </c>
      <c r="O2594" s="70"/>
      <c r="P2594" s="17"/>
      <c r="Q2594" s="159">
        <v>44315</v>
      </c>
      <c r="R2594" s="161">
        <v>14812.3</v>
      </c>
      <c r="S2594" s="161">
        <v>14922.3</v>
      </c>
      <c r="T2594" s="159">
        <v>44315</v>
      </c>
      <c r="V2594" s="17"/>
    </row>
    <row r="2595" spans="2:26" x14ac:dyDescent="0.3">
      <c r="B2595" s="17"/>
      <c r="C2595" s="17"/>
      <c r="D2595" s="16"/>
      <c r="E2595" s="16">
        <f>F2595-(G2595-F2595)</f>
        <v>52.349999999999994</v>
      </c>
      <c r="F2595" s="16">
        <f>AVERAGE(C2591,C2604)</f>
        <v>71.75</v>
      </c>
      <c r="G2595" s="16">
        <f>AVERAGE(C2590,C2603)</f>
        <v>91.15</v>
      </c>
      <c r="H2595" s="7"/>
      <c r="I2595" s="7"/>
      <c r="J2595" s="7"/>
      <c r="K2595" s="7"/>
      <c r="P2595" s="17"/>
      <c r="V2595" s="16"/>
    </row>
    <row r="2596" spans="2:26" x14ac:dyDescent="0.3">
      <c r="B2596" s="17"/>
      <c r="C2596" s="17"/>
      <c r="D2596" s="16"/>
      <c r="E2596" s="16"/>
      <c r="F2596" s="16"/>
      <c r="G2596" s="16"/>
      <c r="H2596" s="17"/>
      <c r="I2596" s="17"/>
      <c r="J2596" s="17"/>
      <c r="N2596" s="17"/>
      <c r="O2596" s="17"/>
      <c r="P2596" s="17"/>
      <c r="Q2596" s="17"/>
      <c r="R2596" s="17"/>
      <c r="S2596" s="17"/>
      <c r="T2596" s="17"/>
      <c r="U2596" s="16"/>
      <c r="V2596" s="16"/>
      <c r="W2596" s="90" t="s">
        <v>68</v>
      </c>
      <c r="X2596" s="119" t="s">
        <v>69</v>
      </c>
      <c r="Y2596" s="92" t="s">
        <v>70</v>
      </c>
      <c r="Z2596" s="90" t="s">
        <v>68</v>
      </c>
    </row>
    <row r="2597" spans="2:26" x14ac:dyDescent="0.3">
      <c r="B2597" s="17"/>
      <c r="C2597" s="17"/>
      <c r="D2597" s="16"/>
      <c r="E2597" s="16"/>
      <c r="F2597" s="16"/>
      <c r="G2597" s="16"/>
      <c r="H2597" s="101"/>
      <c r="I2597" s="101"/>
      <c r="J2597" s="101"/>
      <c r="K2597" s="101"/>
      <c r="M2597" s="101"/>
      <c r="N2597" s="101"/>
      <c r="O2597" s="101"/>
      <c r="P2597" s="17"/>
      <c r="Q2597" s="17"/>
      <c r="R2597" s="17"/>
      <c r="S2597" s="17"/>
      <c r="T2597" s="17"/>
      <c r="U2597" s="16"/>
      <c r="V2597" s="16"/>
      <c r="W2597" s="66">
        <v>0.41597222222222219</v>
      </c>
      <c r="X2597" s="7">
        <v>55.4</v>
      </c>
      <c r="Y2597" s="7">
        <v>70.45</v>
      </c>
      <c r="Z2597" s="66">
        <v>0.41597222222222219</v>
      </c>
    </row>
    <row r="2598" spans="2:26" x14ac:dyDescent="0.3">
      <c r="B2598" s="17"/>
      <c r="C2598" s="95">
        <v>44322</v>
      </c>
      <c r="D2598" s="17"/>
      <c r="F2598" s="16"/>
      <c r="H2598" s="66">
        <v>4.4444444444444446E-2</v>
      </c>
      <c r="I2598" s="66">
        <v>5.2083333333333336E-2</v>
      </c>
      <c r="J2598" s="66">
        <v>7.8472222222222221E-2</v>
      </c>
      <c r="K2598" s="66">
        <v>0.13541666666666666</v>
      </c>
      <c r="M2598" s="66">
        <v>0.48402777777777778</v>
      </c>
      <c r="N2598" s="66">
        <v>4.5138888888888888E-2</v>
      </c>
      <c r="O2598" s="68"/>
      <c r="P2598" s="17"/>
      <c r="Q2598" s="150" t="s">
        <v>72</v>
      </c>
      <c r="R2598" s="151"/>
      <c r="S2598" s="151"/>
      <c r="T2598" s="151"/>
      <c r="U2598" s="152"/>
      <c r="V2598" s="17"/>
      <c r="W2598" s="66">
        <v>0.4368055555555555</v>
      </c>
      <c r="X2598" s="7">
        <v>52.1</v>
      </c>
      <c r="Y2598" s="7">
        <v>72.599999999999994</v>
      </c>
      <c r="Z2598" s="66">
        <v>0.4368055555555555</v>
      </c>
    </row>
    <row r="2599" spans="2:26" x14ac:dyDescent="0.3">
      <c r="B2599" s="90" t="s">
        <v>68</v>
      </c>
      <c r="C2599" s="66">
        <v>0.41666666666666669</v>
      </c>
      <c r="D2599" s="66">
        <v>0.3888888888888889</v>
      </c>
      <c r="E2599" s="16">
        <f>F2599-(G2599-F2599)</f>
        <v>59.550000000000011</v>
      </c>
      <c r="F2599" s="16">
        <f>AVERAGE(C2603,C2591)</f>
        <v>80.75</v>
      </c>
      <c r="G2599" s="16">
        <f>AVERAGE(C2602,C2590)</f>
        <v>101.94999999999999</v>
      </c>
      <c r="H2599" s="23">
        <v>80.75</v>
      </c>
      <c r="I2599" s="23">
        <v>101.95</v>
      </c>
      <c r="J2599" s="23">
        <v>76</v>
      </c>
      <c r="K2599" s="7">
        <v>14556.9</v>
      </c>
      <c r="M2599" s="23">
        <v>54.7</v>
      </c>
      <c r="N2599" s="7">
        <v>14670.45</v>
      </c>
      <c r="O2599" s="70"/>
      <c r="P2599" s="17"/>
      <c r="Q2599" s="34"/>
      <c r="R2599" s="34" t="s">
        <v>111</v>
      </c>
      <c r="S2599" s="34" t="s">
        <v>2</v>
      </c>
      <c r="T2599" s="34" t="s">
        <v>1</v>
      </c>
      <c r="U2599" s="34" t="s">
        <v>111</v>
      </c>
      <c r="V2599" s="17"/>
      <c r="W2599" s="66">
        <v>0.45763888888888887</v>
      </c>
      <c r="X2599" s="7">
        <v>54.55</v>
      </c>
      <c r="Y2599" s="7">
        <v>68.099999999999994</v>
      </c>
      <c r="Z2599" s="66">
        <v>0.45763888888888887</v>
      </c>
    </row>
    <row r="2600" spans="2:26" x14ac:dyDescent="0.3">
      <c r="B2600" s="5">
        <f>B2601+50</f>
        <v>14750</v>
      </c>
      <c r="C2600" s="7">
        <v>164.85</v>
      </c>
      <c r="D2600" s="7">
        <v>132.30000000000001</v>
      </c>
      <c r="E2600" s="16">
        <f>E2599-(F2599-E2599)</f>
        <v>38.350000000000023</v>
      </c>
      <c r="F2600" s="7">
        <f t="shared" ref="F2600:F2605" si="222">B2600-D2600</f>
        <v>14617.7</v>
      </c>
      <c r="G2600" s="16"/>
      <c r="H2600" s="7">
        <v>188.45</v>
      </c>
      <c r="I2600" s="7">
        <v>226</v>
      </c>
      <c r="J2600" s="7">
        <v>172.6</v>
      </c>
      <c r="K2600" s="7">
        <v>265.10000000000002</v>
      </c>
      <c r="M2600" s="7">
        <v>130.85</v>
      </c>
      <c r="N2600" s="7">
        <v>179.95</v>
      </c>
      <c r="O2600" s="70"/>
      <c r="P2600" s="17"/>
      <c r="Q2600" s="7">
        <f>(U2600*T2600)-(R2600*S2600)</f>
        <v>1346.25</v>
      </c>
      <c r="R2600" s="109">
        <v>75</v>
      </c>
      <c r="S2600" s="7">
        <v>84</v>
      </c>
      <c r="T2600" s="18">
        <v>101.95</v>
      </c>
      <c r="U2600" s="109">
        <f>R2600</f>
        <v>75</v>
      </c>
      <c r="V2600" s="16"/>
      <c r="W2600" s="66">
        <v>0.47847222222222219</v>
      </c>
      <c r="X2600" s="7">
        <v>58.8</v>
      </c>
      <c r="Y2600" s="7">
        <v>60.65</v>
      </c>
      <c r="Z2600" s="66">
        <v>0.47847222222222219</v>
      </c>
    </row>
    <row r="2601" spans="2:26" x14ac:dyDescent="0.3">
      <c r="B2601" s="5">
        <f>B2602+50</f>
        <v>14700</v>
      </c>
      <c r="C2601" s="7">
        <v>135.69999999999999</v>
      </c>
      <c r="D2601" s="7">
        <v>107.6</v>
      </c>
      <c r="E2601" s="16"/>
      <c r="F2601" s="7">
        <f t="shared" si="222"/>
        <v>14592.4</v>
      </c>
      <c r="G2601" s="17"/>
      <c r="H2601" s="7">
        <v>157.05000000000001</v>
      </c>
      <c r="I2601" s="7">
        <v>190.7</v>
      </c>
      <c r="J2601" s="7">
        <v>141.6</v>
      </c>
      <c r="K2601" s="7">
        <v>226.85</v>
      </c>
      <c r="M2601" s="7">
        <v>105.95</v>
      </c>
      <c r="N2601" s="7">
        <v>149.5</v>
      </c>
      <c r="O2601" s="70"/>
      <c r="P2601" s="17"/>
      <c r="Q2601" s="7">
        <f>(U2601*T2601)-(R2601*S2601)</f>
        <v>-600</v>
      </c>
      <c r="R2601" s="109">
        <v>75</v>
      </c>
      <c r="S2601" s="7">
        <v>84</v>
      </c>
      <c r="T2601" s="18">
        <v>76</v>
      </c>
      <c r="U2601" s="109">
        <f>R2601</f>
        <v>75</v>
      </c>
      <c r="V2601" s="16"/>
      <c r="W2601" s="66">
        <v>0.4993055555555555</v>
      </c>
      <c r="X2601" s="7">
        <v>65.349999999999994</v>
      </c>
      <c r="Y2601" s="7">
        <v>54.45</v>
      </c>
      <c r="Z2601" s="66">
        <v>0.4993055555555555</v>
      </c>
    </row>
    <row r="2602" spans="2:26" x14ac:dyDescent="0.3">
      <c r="B2602" s="97">
        <v>14650</v>
      </c>
      <c r="C2602" s="7">
        <v>110.05</v>
      </c>
      <c r="D2602" s="7">
        <v>86.7</v>
      </c>
      <c r="E2602" s="16"/>
      <c r="F2602" s="7">
        <f t="shared" si="222"/>
        <v>14563.3</v>
      </c>
      <c r="G2602" s="17"/>
      <c r="H2602" s="7">
        <v>129</v>
      </c>
      <c r="I2602" s="7">
        <v>159.94999999999999</v>
      </c>
      <c r="J2602" s="7">
        <v>115.15</v>
      </c>
      <c r="K2602" s="7">
        <v>190</v>
      </c>
      <c r="M2602" s="7">
        <v>84.95</v>
      </c>
      <c r="N2602" s="7">
        <v>121.95</v>
      </c>
      <c r="O2602" s="70"/>
      <c r="P2602" s="17"/>
      <c r="Q2602" s="7">
        <f>(U2602*T2602)-(R2602*S2602)</f>
        <v>0</v>
      </c>
      <c r="R2602" s="109"/>
      <c r="S2602" s="18"/>
      <c r="T2602" s="18"/>
      <c r="U2602" s="109">
        <f>R2602</f>
        <v>0</v>
      </c>
      <c r="V2602" s="17"/>
      <c r="W2602" s="66">
        <v>0.52013888888888882</v>
      </c>
      <c r="X2602" s="7">
        <v>60.15</v>
      </c>
      <c r="Y2602" s="7">
        <v>55.7</v>
      </c>
      <c r="Z2602" s="66">
        <v>0.52013888888888882</v>
      </c>
    </row>
    <row r="2603" spans="2:26" x14ac:dyDescent="0.3">
      <c r="B2603" s="14">
        <f>B2602-50</f>
        <v>14600</v>
      </c>
      <c r="C2603" s="7">
        <v>88.45</v>
      </c>
      <c r="D2603" s="23">
        <v>69</v>
      </c>
      <c r="E2603" s="16"/>
      <c r="F2603" s="98">
        <f t="shared" si="222"/>
        <v>14531</v>
      </c>
      <c r="G2603" s="17"/>
      <c r="H2603" s="7">
        <v>104.75</v>
      </c>
      <c r="I2603" s="7">
        <v>131.6</v>
      </c>
      <c r="J2603" s="7">
        <v>92.25</v>
      </c>
      <c r="K2603" s="7">
        <v>156.5</v>
      </c>
      <c r="M2603" s="7">
        <v>67.5</v>
      </c>
      <c r="N2603" s="7">
        <v>98.8</v>
      </c>
      <c r="O2603" s="70"/>
      <c r="P2603" s="17"/>
      <c r="Q2603" s="7">
        <f>(U2603*T2603)-(R2603*S2603)</f>
        <v>0</v>
      </c>
      <c r="R2603" s="109"/>
      <c r="S2603" s="18"/>
      <c r="T2603" s="18"/>
      <c r="U2603" s="109">
        <f>R2603</f>
        <v>0</v>
      </c>
      <c r="V2603" s="17"/>
      <c r="W2603" s="66">
        <v>0.54097222222222219</v>
      </c>
      <c r="X2603" s="7">
        <v>56.25</v>
      </c>
      <c r="Y2603" s="7">
        <v>60.45</v>
      </c>
      <c r="Z2603" s="66">
        <v>0.54097222222222219</v>
      </c>
    </row>
    <row r="2604" spans="2:26" x14ac:dyDescent="0.3">
      <c r="B2604" s="99">
        <f>B2603-50</f>
        <v>14550</v>
      </c>
      <c r="C2604" s="51">
        <v>70.45</v>
      </c>
      <c r="D2604" s="7">
        <v>54.25</v>
      </c>
      <c r="E2604" s="16"/>
      <c r="F2604" s="7">
        <f t="shared" si="222"/>
        <v>14495.75</v>
      </c>
      <c r="G2604" s="16">
        <f>H2604-(H2601-H2602)</f>
        <v>55.949999999999989</v>
      </c>
      <c r="H2604" s="7">
        <v>84</v>
      </c>
      <c r="I2604" s="7">
        <v>106.6</v>
      </c>
      <c r="J2604" s="7">
        <v>73.3</v>
      </c>
      <c r="K2604" s="7">
        <v>128</v>
      </c>
      <c r="M2604" s="7">
        <v>52.85</v>
      </c>
      <c r="N2604" s="7">
        <v>78.599999999999994</v>
      </c>
      <c r="O2604" s="70"/>
      <c r="P2604" s="17"/>
      <c r="Q2604" s="7">
        <f>SUM(Q2600:Q2603)</f>
        <v>746.25</v>
      </c>
      <c r="R2604" s="7">
        <f>SUM(R2600:R2603)</f>
        <v>150</v>
      </c>
      <c r="S2604" s="109">
        <f>R2604-U2604</f>
        <v>0</v>
      </c>
      <c r="T2604" s="114" t="e">
        <f>Q2604/S2604</f>
        <v>#DIV/0!</v>
      </c>
      <c r="U2604" s="7">
        <f>SUM(U2600:U2603)</f>
        <v>150</v>
      </c>
      <c r="V2604" s="17"/>
      <c r="W2604" s="66">
        <v>6.1805555555555558E-2</v>
      </c>
      <c r="X2604" s="7">
        <v>39.200000000000003</v>
      </c>
      <c r="Y2604" s="7">
        <v>85.2</v>
      </c>
      <c r="Z2604" s="66">
        <v>6.1805555555555558E-2</v>
      </c>
    </row>
    <row r="2605" spans="2:26" x14ac:dyDescent="0.3">
      <c r="B2605" s="5">
        <f>B2604-50</f>
        <v>14500</v>
      </c>
      <c r="C2605" s="7">
        <v>54.7</v>
      </c>
      <c r="D2605" s="7">
        <v>42.3</v>
      </c>
      <c r="E2605" s="16"/>
      <c r="F2605" s="7">
        <f t="shared" si="222"/>
        <v>14457.7</v>
      </c>
      <c r="G2605" s="16"/>
      <c r="H2605" s="7">
        <v>66.650000000000006</v>
      </c>
      <c r="I2605" s="7">
        <v>85.5</v>
      </c>
      <c r="J2605" s="7">
        <v>57.9</v>
      </c>
      <c r="K2605" s="7">
        <v>103.3</v>
      </c>
      <c r="M2605" s="7">
        <v>41.45</v>
      </c>
      <c r="N2605" s="7">
        <v>62.05</v>
      </c>
      <c r="O2605" s="70"/>
      <c r="W2605" s="66">
        <v>8.2638888888888887E-2</v>
      </c>
      <c r="X2605" s="7">
        <v>38.85</v>
      </c>
      <c r="Y2605" s="7">
        <v>78.95</v>
      </c>
      <c r="Z2605" s="66">
        <v>8.2638888888888887E-2</v>
      </c>
    </row>
    <row r="2606" spans="2:26" x14ac:dyDescent="0.3">
      <c r="H2606" s="7"/>
      <c r="I2606" s="7"/>
      <c r="J2606" s="7"/>
      <c r="K2606" s="7"/>
      <c r="P2606" s="98">
        <f>Q2604</f>
        <v>746.25</v>
      </c>
      <c r="Q2606" s="92" t="s">
        <v>72</v>
      </c>
      <c r="R2606" s="17"/>
      <c r="T2606" s="92" t="s">
        <v>73</v>
      </c>
      <c r="U2606" s="7">
        <f>((X2598+Y2598)-(X2606+Y2606))</f>
        <v>9.6499999999999915</v>
      </c>
      <c r="V2606" s="98">
        <f>U2606*150</f>
        <v>1447.4999999999986</v>
      </c>
      <c r="W2606" s="66">
        <v>5.2083333333333336E-2</v>
      </c>
      <c r="X2606" s="7">
        <v>31.05</v>
      </c>
      <c r="Y2606" s="23">
        <v>84</v>
      </c>
      <c r="Z2606" s="66">
        <v>4.4444444444444446E-2</v>
      </c>
    </row>
    <row r="2608" spans="2:26" x14ac:dyDescent="0.3">
      <c r="I2608" s="101">
        <v>84</v>
      </c>
    </row>
    <row r="2609" spans="2:26" x14ac:dyDescent="0.3">
      <c r="I2609">
        <f>I2608*150</f>
        <v>12600</v>
      </c>
      <c r="J2609">
        <v>101.95</v>
      </c>
      <c r="K2609">
        <f>J2609*75</f>
        <v>7646.25</v>
      </c>
    </row>
    <row r="2616" spans="2:26" x14ac:dyDescent="0.3">
      <c r="B2616" s="40"/>
      <c r="C2616" s="50">
        <f>AVERAGE(B2617,D2616)</f>
        <v>14653.9</v>
      </c>
      <c r="D2616" s="51">
        <f>B2617+E2617</f>
        <v>14693.9</v>
      </c>
      <c r="E2616" s="50">
        <f>AVERAGE(D2616,F2616)</f>
        <v>14733.9</v>
      </c>
      <c r="F2616" s="50">
        <f>D2616+E2617</f>
        <v>14773.9</v>
      </c>
      <c r="G2616" s="17"/>
      <c r="H2616" s="88" t="str">
        <f>IF((C2625-D2625)&gt;(C2636-D2636),"LONG",IF(C2636&gt;D2634,"LONG","SHORT"))</f>
        <v>LONG</v>
      </c>
      <c r="I2616" s="104">
        <v>14578</v>
      </c>
      <c r="J2616" s="120" t="s">
        <v>122</v>
      </c>
      <c r="K2616" s="106">
        <v>14630</v>
      </c>
      <c r="L2616" s="17"/>
      <c r="N2616" s="17"/>
      <c r="O2616" s="17"/>
      <c r="S2616" s="40"/>
      <c r="V2616" s="17"/>
    </row>
    <row r="2617" spans="2:26" x14ac:dyDescent="0.3">
      <c r="B2617" s="50">
        <v>14613.9</v>
      </c>
      <c r="C2617" s="40"/>
      <c r="D2617" s="58"/>
      <c r="E2617" s="59">
        <f>ROUND((((B2617*F2617%)/4)/10),0)*10</f>
        <v>80</v>
      </c>
      <c r="F2617" s="51">
        <f>(100/B2617)*(F2626-F2637)</f>
        <v>2.0976604465611457</v>
      </c>
      <c r="G2617" s="17"/>
      <c r="H2617" s="93">
        <v>0.39166666666666666</v>
      </c>
      <c r="I2617" s="93">
        <v>0.39861111111111108</v>
      </c>
      <c r="J2617" s="93">
        <v>0.4055555555555555</v>
      </c>
      <c r="K2617" s="93">
        <v>0.41250000000000003</v>
      </c>
      <c r="M2617" s="50">
        <v>12643</v>
      </c>
      <c r="N2617" s="17"/>
      <c r="O2617" s="17"/>
      <c r="S2617" s="40"/>
      <c r="U2617" s="17"/>
      <c r="V2617" s="17"/>
      <c r="W2617" s="90" t="s">
        <v>68</v>
      </c>
      <c r="X2617" s="119" t="s">
        <v>69</v>
      </c>
      <c r="Y2617" s="92" t="s">
        <v>70</v>
      </c>
      <c r="Z2617" s="90" t="s">
        <v>68</v>
      </c>
    </row>
    <row r="2618" spans="2:26" x14ac:dyDescent="0.3">
      <c r="B2618" s="40"/>
      <c r="C2618" s="50">
        <f>AVERAGE(B2617,D2618)</f>
        <v>14573.9</v>
      </c>
      <c r="D2618" s="51">
        <f>B2617-E2617</f>
        <v>14533.9</v>
      </c>
      <c r="E2618" s="50">
        <f>AVERAGE(D2618,F2618)</f>
        <v>14493.9</v>
      </c>
      <c r="F2618" s="50">
        <f>D2618-E2617</f>
        <v>14453.9</v>
      </c>
      <c r="G2618" s="17"/>
      <c r="H2618" s="51">
        <v>14588.05</v>
      </c>
      <c r="I2618" s="51">
        <v>14602.25</v>
      </c>
      <c r="J2618" s="51">
        <v>14616.55</v>
      </c>
      <c r="K2618" s="51">
        <v>14609</v>
      </c>
      <c r="L2618" s="17"/>
      <c r="N2618" s="17"/>
      <c r="O2618" s="17"/>
      <c r="Q2618" s="17"/>
      <c r="S2618" s="40"/>
      <c r="U2618" s="17"/>
      <c r="V2618" s="17"/>
      <c r="W2618" s="66">
        <v>0.41597222222222219</v>
      </c>
      <c r="X2618" s="7">
        <v>109.3</v>
      </c>
      <c r="Y2618" s="7">
        <v>112.3</v>
      </c>
      <c r="Z2618" s="66">
        <v>0.41597222222222219</v>
      </c>
    </row>
    <row r="2619" spans="2:26" x14ac:dyDescent="0.3">
      <c r="B2619" s="17"/>
      <c r="C2619" s="17"/>
      <c r="D2619" s="17"/>
      <c r="E2619" s="17"/>
      <c r="F2619" s="16"/>
      <c r="G2619" s="16"/>
      <c r="H2619" s="17"/>
      <c r="I2619" s="17"/>
      <c r="J2619" s="17"/>
      <c r="K2619" s="16"/>
      <c r="L2619" s="17"/>
      <c r="M2619" s="17"/>
      <c r="N2619" s="17"/>
      <c r="O2619" s="17"/>
      <c r="Q2619" s="17"/>
      <c r="S2619" s="40"/>
      <c r="U2619" s="17"/>
      <c r="V2619" s="17"/>
      <c r="W2619" s="66">
        <v>0.4368055555555555</v>
      </c>
      <c r="X2619" s="7">
        <v>108.1</v>
      </c>
      <c r="Y2619" s="7">
        <v>109.15</v>
      </c>
      <c r="Z2619" s="66">
        <v>0.4368055555555555</v>
      </c>
    </row>
    <row r="2620" spans="2:26" x14ac:dyDescent="0.3">
      <c r="B2620" s="16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Q2620" s="17"/>
      <c r="R2620" s="17"/>
      <c r="S2620" s="17"/>
      <c r="T2620" s="17"/>
      <c r="U2620" s="17"/>
      <c r="V2620" s="17"/>
      <c r="W2620" s="66">
        <v>0.45763888888888887</v>
      </c>
      <c r="X2620" s="7">
        <v>110.45</v>
      </c>
      <c r="Y2620" s="7">
        <v>92</v>
      </c>
      <c r="Z2620" s="66">
        <v>0.45763888888888887</v>
      </c>
    </row>
    <row r="2621" spans="2:26" x14ac:dyDescent="0.3">
      <c r="B2621" s="16"/>
      <c r="C2621" s="95">
        <v>44321</v>
      </c>
      <c r="D2621" s="16"/>
      <c r="E2621" s="17"/>
      <c r="F2621" s="7">
        <f>AVERAGE(F2623,F2634)</f>
        <v>14578.125</v>
      </c>
      <c r="G2621" s="96"/>
      <c r="H2621" s="66">
        <v>0.41944444444444445</v>
      </c>
      <c r="I2621" s="66">
        <v>0.44791666666666669</v>
      </c>
      <c r="J2621" s="66">
        <v>0.46597222222222223</v>
      </c>
      <c r="K2621" s="66">
        <v>0.13541666666666666</v>
      </c>
      <c r="M2621" s="66">
        <v>0.41944444444444445</v>
      </c>
      <c r="N2621" s="66">
        <v>0.44722222222222219</v>
      </c>
      <c r="O2621" s="68"/>
      <c r="Q2621" s="17"/>
      <c r="R2621" s="17"/>
      <c r="S2621" s="17"/>
      <c r="T2621" s="17"/>
      <c r="U2621" s="17"/>
      <c r="V2621" s="17"/>
      <c r="W2621" s="66">
        <v>0.47847222222222219</v>
      </c>
      <c r="X2621" s="7">
        <v>90.45</v>
      </c>
      <c r="Y2621" s="7">
        <v>108.25</v>
      </c>
      <c r="Z2621" s="66">
        <v>0.47847222222222219</v>
      </c>
    </row>
    <row r="2622" spans="2:26" x14ac:dyDescent="0.3">
      <c r="B2622" s="90" t="s">
        <v>68</v>
      </c>
      <c r="C2622" s="66">
        <v>0.41666666666666669</v>
      </c>
      <c r="D2622" s="66">
        <v>0.39166666666666666</v>
      </c>
      <c r="E2622" s="17"/>
      <c r="F2622" s="17"/>
      <c r="G2622" s="17"/>
      <c r="H2622" s="7">
        <v>14568.2</v>
      </c>
      <c r="I2622" s="7">
        <v>14651.7</v>
      </c>
      <c r="J2622" s="7">
        <v>14605.1</v>
      </c>
      <c r="K2622" s="7">
        <v>14681</v>
      </c>
      <c r="M2622" s="23">
        <v>30.45</v>
      </c>
      <c r="N2622" s="7">
        <v>14638</v>
      </c>
      <c r="O2622" s="70"/>
      <c r="R2622" s="158" t="s">
        <v>128</v>
      </c>
      <c r="S2622" s="158"/>
      <c r="U2622" s="17"/>
      <c r="V2622" s="17"/>
      <c r="W2622" s="66">
        <v>0.4993055555555555</v>
      </c>
      <c r="X2622" s="7">
        <v>92.2</v>
      </c>
      <c r="Y2622" s="7">
        <v>101.8</v>
      </c>
      <c r="Z2622" s="66">
        <v>0.4993055555555555</v>
      </c>
    </row>
    <row r="2623" spans="2:26" x14ac:dyDescent="0.3">
      <c r="B2623" s="5">
        <f>B2624-50</f>
        <v>14550</v>
      </c>
      <c r="C2623" s="7">
        <v>109.3</v>
      </c>
      <c r="D2623" s="7">
        <v>94.7</v>
      </c>
      <c r="E2623" s="16"/>
      <c r="F2623" s="7">
        <f t="shared" ref="F2623:F2628" si="223">B2623+D2623</f>
        <v>14644.7</v>
      </c>
      <c r="G2623" s="17"/>
      <c r="H2623" s="7">
        <v>82.65</v>
      </c>
      <c r="I2623" s="7">
        <v>121.65</v>
      </c>
      <c r="J2623" s="7">
        <v>94.5</v>
      </c>
      <c r="K2623" s="7">
        <v>119.9</v>
      </c>
      <c r="M2623" s="7">
        <v>82.65</v>
      </c>
      <c r="N2623" s="7">
        <v>117.35</v>
      </c>
      <c r="O2623" s="70"/>
      <c r="Q2623" s="150" t="s">
        <v>129</v>
      </c>
      <c r="R2623" s="151"/>
      <c r="S2623" s="151"/>
      <c r="T2623" s="151"/>
      <c r="V2623" s="17"/>
      <c r="W2623" s="66">
        <v>0.52013888888888882</v>
      </c>
      <c r="X2623" s="7">
        <v>96.35</v>
      </c>
      <c r="Y2623" s="7">
        <v>95.95</v>
      </c>
      <c r="Z2623" s="66">
        <v>0.52013888888888882</v>
      </c>
    </row>
    <row r="2624" spans="2:26" x14ac:dyDescent="0.3">
      <c r="B2624" s="5">
        <f>B2625-50</f>
        <v>14600</v>
      </c>
      <c r="C2624" s="7">
        <v>82.95</v>
      </c>
      <c r="D2624" s="7">
        <v>71.5</v>
      </c>
      <c r="E2624" s="16"/>
      <c r="F2624" s="7">
        <f t="shared" si="223"/>
        <v>14671.5</v>
      </c>
      <c r="G2624" s="17"/>
      <c r="H2624" s="7">
        <v>57</v>
      </c>
      <c r="I2624" s="7">
        <v>91.3</v>
      </c>
      <c r="J2624" s="7">
        <v>68.150000000000006</v>
      </c>
      <c r="K2624" s="7">
        <v>87</v>
      </c>
      <c r="M2624" s="7">
        <v>57</v>
      </c>
      <c r="N2624" s="7">
        <v>86.65</v>
      </c>
      <c r="O2624" s="70"/>
      <c r="Q2624" s="159">
        <v>44313</v>
      </c>
      <c r="R2624" s="160">
        <v>14569.25</v>
      </c>
      <c r="S2624" s="160">
        <v>14649.25</v>
      </c>
      <c r="T2624" s="159">
        <v>44313</v>
      </c>
      <c r="V2624" s="17"/>
      <c r="W2624" s="66">
        <v>0.54097222222222219</v>
      </c>
      <c r="X2624" s="7">
        <v>118.5</v>
      </c>
      <c r="Y2624" s="7">
        <v>78.55</v>
      </c>
      <c r="Z2624" s="66">
        <v>0.54097222222222219</v>
      </c>
    </row>
    <row r="2625" spans="2:26" x14ac:dyDescent="0.3">
      <c r="B2625" s="97">
        <v>14650</v>
      </c>
      <c r="C2625" s="7">
        <v>61</v>
      </c>
      <c r="D2625" s="7">
        <v>52.3</v>
      </c>
      <c r="E2625" s="16"/>
      <c r="F2625" s="7">
        <f t="shared" si="223"/>
        <v>14702.3</v>
      </c>
      <c r="G2625" s="17"/>
      <c r="H2625" s="7">
        <v>40.5</v>
      </c>
      <c r="I2625" s="7">
        <v>65.75</v>
      </c>
      <c r="J2625" s="7">
        <v>47.45</v>
      </c>
      <c r="K2625" s="7">
        <v>59.65</v>
      </c>
      <c r="M2625" s="7">
        <v>40.5</v>
      </c>
      <c r="N2625" s="7">
        <v>63.3</v>
      </c>
      <c r="O2625" s="70"/>
      <c r="Q2625" s="159">
        <v>44319</v>
      </c>
      <c r="R2625" s="160">
        <v>14584</v>
      </c>
      <c r="S2625" s="160">
        <v>14734</v>
      </c>
      <c r="T2625" s="159">
        <v>44319</v>
      </c>
      <c r="V2625" s="17"/>
      <c r="W2625" s="66">
        <v>6.1805555555555558E-2</v>
      </c>
      <c r="X2625" s="7">
        <v>122.6</v>
      </c>
      <c r="Y2625" s="7">
        <v>75.349999999999994</v>
      </c>
      <c r="Z2625" s="66">
        <v>6.1805555555555558E-2</v>
      </c>
    </row>
    <row r="2626" spans="2:26" x14ac:dyDescent="0.3">
      <c r="B2626" s="5">
        <f>B2625+50</f>
        <v>14700</v>
      </c>
      <c r="C2626" s="51">
        <v>43.2</v>
      </c>
      <c r="D2626" s="7">
        <v>37.15</v>
      </c>
      <c r="E2626" s="16"/>
      <c r="F2626" s="98">
        <f t="shared" si="223"/>
        <v>14737.15</v>
      </c>
      <c r="G2626" s="17"/>
      <c r="H2626" s="7">
        <v>27.6</v>
      </c>
      <c r="I2626" s="7">
        <v>45.5</v>
      </c>
      <c r="J2626" s="7">
        <v>31.3</v>
      </c>
      <c r="K2626" s="7">
        <v>37.549999999999997</v>
      </c>
      <c r="M2626" s="7">
        <v>27.6</v>
      </c>
      <c r="N2626" s="7">
        <v>43.25</v>
      </c>
      <c r="O2626" s="70"/>
      <c r="Q2626" s="159">
        <v>44316</v>
      </c>
      <c r="R2626" s="161">
        <v>14697</v>
      </c>
      <c r="S2626" s="161">
        <v>14860</v>
      </c>
      <c r="T2626" s="159">
        <v>44314</v>
      </c>
      <c r="V2626" s="17"/>
      <c r="W2626" s="66">
        <v>8.2638888888888887E-2</v>
      </c>
      <c r="X2626" s="7">
        <v>109.45</v>
      </c>
      <c r="Y2626" s="7">
        <v>77.95</v>
      </c>
      <c r="Z2626" s="66">
        <v>8.2638888888888887E-2</v>
      </c>
    </row>
    <row r="2627" spans="2:26" x14ac:dyDescent="0.3">
      <c r="B2627" s="99">
        <f>B2626+50</f>
        <v>14750</v>
      </c>
      <c r="C2627" s="7">
        <v>30.45</v>
      </c>
      <c r="D2627" s="7">
        <v>26</v>
      </c>
      <c r="E2627" s="16"/>
      <c r="F2627" s="7">
        <f t="shared" si="223"/>
        <v>14776</v>
      </c>
      <c r="G2627" s="17"/>
      <c r="H2627" s="7">
        <v>20.3</v>
      </c>
      <c r="I2627" s="7">
        <v>30.75</v>
      </c>
      <c r="J2627" s="7">
        <v>20.350000000000001</v>
      </c>
      <c r="K2627" s="7">
        <v>22.5</v>
      </c>
      <c r="M2627" s="7">
        <v>20.3</v>
      </c>
      <c r="N2627" s="7">
        <v>28.45</v>
      </c>
      <c r="O2627" s="70"/>
      <c r="Q2627" s="159">
        <v>44314</v>
      </c>
      <c r="R2627" s="161">
        <v>14740</v>
      </c>
      <c r="S2627" s="161">
        <v>14877</v>
      </c>
      <c r="T2627" s="159">
        <v>44316</v>
      </c>
      <c r="V2627" s="17"/>
    </row>
    <row r="2628" spans="2:26" x14ac:dyDescent="0.3">
      <c r="B2628" s="5">
        <f>B2627+50</f>
        <v>14800</v>
      </c>
      <c r="C2628" s="7">
        <v>21.15</v>
      </c>
      <c r="D2628" s="7">
        <v>18.100000000000001</v>
      </c>
      <c r="E2628" s="16">
        <f>E2629-(F2629-E2629)</f>
        <v>20.274999999999991</v>
      </c>
      <c r="F2628" s="7">
        <f t="shared" si="223"/>
        <v>14818.1</v>
      </c>
      <c r="G2628" s="16"/>
      <c r="H2628" s="7">
        <v>14.05</v>
      </c>
      <c r="I2628" s="7">
        <v>20</v>
      </c>
      <c r="J2628" s="7">
        <v>13.1</v>
      </c>
      <c r="K2628" s="7">
        <v>13</v>
      </c>
      <c r="M2628" s="7">
        <v>14.05</v>
      </c>
      <c r="N2628" s="7">
        <v>18.100000000000001</v>
      </c>
      <c r="O2628" s="70"/>
      <c r="P2628" s="17"/>
      <c r="Q2628" s="159">
        <v>44315</v>
      </c>
      <c r="R2628" s="161">
        <v>14812.3</v>
      </c>
      <c r="S2628" s="161">
        <v>14922.3</v>
      </c>
      <c r="T2628" s="159">
        <v>44315</v>
      </c>
      <c r="V2628" s="17"/>
    </row>
    <row r="2629" spans="2:26" x14ac:dyDescent="0.3">
      <c r="B2629" s="17"/>
      <c r="C2629" s="17"/>
      <c r="D2629" s="16"/>
      <c r="E2629" s="16">
        <f>F2629-(G2629-F2629)</f>
        <v>38.974999999999994</v>
      </c>
      <c r="F2629" s="16">
        <f>AVERAGE(C2625,C2638)</f>
        <v>57.674999999999997</v>
      </c>
      <c r="G2629" s="16">
        <f>AVERAGE(C2624,C2637)</f>
        <v>76.375</v>
      </c>
      <c r="H2629" s="7"/>
      <c r="I2629" s="7"/>
      <c r="J2629" s="7"/>
      <c r="K2629" s="7"/>
      <c r="P2629" s="17"/>
      <c r="V2629" s="16"/>
    </row>
    <row r="2630" spans="2:26" x14ac:dyDescent="0.3">
      <c r="B2630" s="17"/>
      <c r="C2630" s="17"/>
      <c r="D2630" s="16"/>
      <c r="E2630" s="16"/>
      <c r="F2630" s="16"/>
      <c r="G2630" s="16"/>
      <c r="P2630" s="17"/>
      <c r="Q2630" s="17"/>
      <c r="R2630" s="17"/>
      <c r="S2630" s="17"/>
      <c r="T2630" s="17"/>
      <c r="U2630" s="16"/>
      <c r="V2630" s="16"/>
      <c r="W2630" s="90" t="s">
        <v>68</v>
      </c>
      <c r="X2630" s="119" t="s">
        <v>69</v>
      </c>
      <c r="Y2630" s="92" t="s">
        <v>70</v>
      </c>
      <c r="Z2630" s="90" t="s">
        <v>68</v>
      </c>
    </row>
    <row r="2631" spans="2:26" x14ac:dyDescent="0.3">
      <c r="B2631" s="17"/>
      <c r="C2631" s="17"/>
      <c r="D2631" s="16"/>
      <c r="E2631" s="16"/>
      <c r="F2631" s="16"/>
      <c r="G2631" s="16"/>
      <c r="H2631" s="101"/>
      <c r="I2631" s="101"/>
      <c r="J2631" s="101"/>
      <c r="K2631" s="101"/>
      <c r="M2631" s="101"/>
      <c r="N2631" s="101"/>
      <c r="O2631" s="101"/>
      <c r="P2631" s="17"/>
      <c r="Q2631" s="17"/>
      <c r="R2631" s="17"/>
      <c r="S2631" s="17"/>
      <c r="T2631" s="17"/>
      <c r="U2631" s="16"/>
      <c r="V2631" s="16"/>
      <c r="W2631" s="66">
        <v>0.41597222222222219</v>
      </c>
      <c r="X2631" s="7">
        <v>43.2</v>
      </c>
      <c r="Y2631" s="7">
        <v>54.35</v>
      </c>
      <c r="Z2631" s="66">
        <v>0.41597222222222219</v>
      </c>
    </row>
    <row r="2632" spans="2:26" x14ac:dyDescent="0.3">
      <c r="B2632" s="16"/>
      <c r="C2632" s="95">
        <v>44322</v>
      </c>
      <c r="D2632" s="17"/>
      <c r="F2632" s="16"/>
      <c r="H2632" s="66">
        <v>0.41944444444444445</v>
      </c>
      <c r="I2632" s="66">
        <v>0.44791666666666669</v>
      </c>
      <c r="J2632" s="66" t="s">
        <v>127</v>
      </c>
      <c r="K2632" s="66">
        <v>0.13541666666666666</v>
      </c>
      <c r="M2632" s="66">
        <v>0.41944444444444445</v>
      </c>
      <c r="N2632" s="66">
        <v>0.44722222222222219</v>
      </c>
      <c r="O2632" s="68"/>
      <c r="P2632" s="17"/>
      <c r="Q2632" s="150" t="s">
        <v>72</v>
      </c>
      <c r="R2632" s="151"/>
      <c r="S2632" s="151"/>
      <c r="T2632" s="151"/>
      <c r="U2632" s="152"/>
      <c r="V2632" s="17"/>
      <c r="W2632" s="66">
        <v>0.4368055555555555</v>
      </c>
      <c r="X2632" s="7">
        <v>41.45</v>
      </c>
      <c r="Y2632" s="7">
        <v>52.35</v>
      </c>
      <c r="Z2632" s="66">
        <v>0.4368055555555555</v>
      </c>
    </row>
    <row r="2633" spans="2:26" x14ac:dyDescent="0.3">
      <c r="B2633" s="90" t="s">
        <v>68</v>
      </c>
      <c r="C2633" s="66">
        <v>0.41666666666666669</v>
      </c>
      <c r="D2633" s="66">
        <v>0.40138888888888885</v>
      </c>
      <c r="E2633" s="16">
        <f>F2633-(G2633-F2633)</f>
        <v>45.025000000000006</v>
      </c>
      <c r="F2633" s="16">
        <f>AVERAGE(C2637,C2625)</f>
        <v>65.400000000000006</v>
      </c>
      <c r="G2633" s="16">
        <f>AVERAGE(C2636,C2624)</f>
        <v>85.775000000000006</v>
      </c>
      <c r="H2633" s="23">
        <v>65.400000000000006</v>
      </c>
      <c r="I2633" s="23">
        <v>36.299999999999997</v>
      </c>
      <c r="J2633" s="23">
        <v>49.65</v>
      </c>
      <c r="K2633" s="7">
        <v>14681</v>
      </c>
      <c r="M2633" s="7">
        <v>14568.2</v>
      </c>
      <c r="N2633" s="23">
        <v>41.9</v>
      </c>
      <c r="O2633" s="162"/>
      <c r="P2633" s="17"/>
      <c r="Q2633" s="34"/>
      <c r="R2633" s="34" t="s">
        <v>111</v>
      </c>
      <c r="S2633" s="34" t="s">
        <v>2</v>
      </c>
      <c r="T2633" s="34" t="s">
        <v>1</v>
      </c>
      <c r="U2633" s="34" t="s">
        <v>111</v>
      </c>
      <c r="V2633" s="17"/>
      <c r="W2633" s="66">
        <v>0.45763888888888887</v>
      </c>
      <c r="X2633" s="7">
        <v>39.65</v>
      </c>
      <c r="Y2633" s="7">
        <v>40.799999999999997</v>
      </c>
      <c r="Z2633" s="66">
        <v>0.45763888888888887</v>
      </c>
    </row>
    <row r="2634" spans="2:26" x14ac:dyDescent="0.3">
      <c r="B2634" s="5">
        <f>B2635+50</f>
        <v>14650</v>
      </c>
      <c r="C2634" s="7">
        <v>140.19999999999999</v>
      </c>
      <c r="D2634" s="7">
        <v>138.44999999999999</v>
      </c>
      <c r="E2634" s="16">
        <f>E2633-(F2633-E2633)</f>
        <v>24.650000000000006</v>
      </c>
      <c r="F2634" s="7">
        <f t="shared" ref="F2634:F2639" si="224">B2634-D2634</f>
        <v>14511.55</v>
      </c>
      <c r="G2634" s="16"/>
      <c r="H2634" s="7">
        <v>161.1</v>
      </c>
      <c r="I2634" s="7">
        <v>110.4</v>
      </c>
      <c r="J2634" s="7">
        <v>135.25</v>
      </c>
      <c r="K2634" s="7">
        <v>82.25</v>
      </c>
      <c r="M2634" s="7">
        <v>161.1</v>
      </c>
      <c r="N2634" s="7">
        <v>117.05</v>
      </c>
      <c r="O2634" s="70"/>
      <c r="P2634" s="17"/>
      <c r="Q2634" s="7">
        <f>(U2634*T2634)-(R2634*S2634)</f>
        <v>-1035</v>
      </c>
      <c r="R2634" s="109">
        <v>75</v>
      </c>
      <c r="S2634" s="7">
        <v>63</v>
      </c>
      <c r="T2634" s="18">
        <v>49.2</v>
      </c>
      <c r="U2634" s="109">
        <f>R2634</f>
        <v>75</v>
      </c>
      <c r="V2634" s="16"/>
      <c r="W2634" s="66">
        <v>0.47847222222222219</v>
      </c>
      <c r="X2634" s="7">
        <v>29.45</v>
      </c>
      <c r="Y2634" s="7">
        <v>48.2</v>
      </c>
      <c r="Z2634" s="66">
        <v>0.47847222222222219</v>
      </c>
    </row>
    <row r="2635" spans="2:26" x14ac:dyDescent="0.3">
      <c r="B2635" s="5">
        <f>B2636+50</f>
        <v>14600</v>
      </c>
      <c r="C2635" s="7">
        <v>112.3</v>
      </c>
      <c r="D2635" s="7">
        <v>111.2</v>
      </c>
      <c r="E2635" s="16"/>
      <c r="F2635" s="7">
        <f t="shared" si="224"/>
        <v>14488.8</v>
      </c>
      <c r="G2635" s="17"/>
      <c r="H2635" s="7">
        <v>135</v>
      </c>
      <c r="I2635" s="7">
        <v>85.9</v>
      </c>
      <c r="J2635" s="7">
        <v>106.05</v>
      </c>
      <c r="K2635" s="7">
        <v>59.3</v>
      </c>
      <c r="M2635" s="7">
        <v>135</v>
      </c>
      <c r="N2635" s="7">
        <v>89.85</v>
      </c>
      <c r="O2635" s="70"/>
      <c r="P2635" s="17"/>
      <c r="Q2635" s="7">
        <f>(U2635*T2635)-(R2635*S2635)</f>
        <v>-1035</v>
      </c>
      <c r="R2635" s="109">
        <v>75</v>
      </c>
      <c r="S2635" s="7">
        <v>63</v>
      </c>
      <c r="T2635" s="18">
        <v>49.2</v>
      </c>
      <c r="U2635" s="109">
        <f>R2635</f>
        <v>75</v>
      </c>
      <c r="V2635" s="16"/>
      <c r="W2635" s="66">
        <v>0.4993055555555555</v>
      </c>
      <c r="X2635" s="7">
        <v>29.45</v>
      </c>
      <c r="Y2635" s="7">
        <v>44.7</v>
      </c>
      <c r="Z2635" s="66">
        <v>0.4993055555555555</v>
      </c>
    </row>
    <row r="2636" spans="2:26" x14ac:dyDescent="0.3">
      <c r="B2636" s="97">
        <v>14550</v>
      </c>
      <c r="C2636" s="7">
        <v>88.6</v>
      </c>
      <c r="D2636" s="7">
        <v>88</v>
      </c>
      <c r="E2636" s="16"/>
      <c r="F2636" s="7">
        <f t="shared" si="224"/>
        <v>14462</v>
      </c>
      <c r="G2636" s="17"/>
      <c r="H2636" s="7">
        <v>108.3</v>
      </c>
      <c r="I2636" s="7">
        <v>66.849999999999994</v>
      </c>
      <c r="J2636" s="7">
        <v>82.45</v>
      </c>
      <c r="K2636" s="7">
        <v>42.55</v>
      </c>
      <c r="M2636" s="7">
        <v>108.3</v>
      </c>
      <c r="N2636" s="7">
        <v>68.849999999999994</v>
      </c>
      <c r="O2636" s="70"/>
      <c r="P2636" s="17"/>
      <c r="Q2636" s="7">
        <f>(U2636*T2636)-(R2636*S2636)</f>
        <v>0</v>
      </c>
      <c r="R2636" s="109"/>
      <c r="S2636" s="18"/>
      <c r="T2636" s="18"/>
      <c r="U2636" s="109">
        <f>R2636</f>
        <v>0</v>
      </c>
      <c r="V2636" s="17"/>
      <c r="W2636" s="66">
        <v>0.52013888888888882</v>
      </c>
      <c r="X2636" s="7">
        <v>30.75</v>
      </c>
      <c r="Y2636" s="7">
        <v>42.15</v>
      </c>
      <c r="Z2636" s="66">
        <v>0.52013888888888882</v>
      </c>
    </row>
    <row r="2637" spans="2:26" x14ac:dyDescent="0.3">
      <c r="B2637" s="14">
        <f>B2636-50</f>
        <v>14500</v>
      </c>
      <c r="C2637" s="7">
        <v>69.8</v>
      </c>
      <c r="D2637" s="7">
        <v>69.400000000000006</v>
      </c>
      <c r="E2637" s="16"/>
      <c r="F2637" s="98">
        <f t="shared" si="224"/>
        <v>14430.6</v>
      </c>
      <c r="G2637" s="17"/>
      <c r="H2637" s="7">
        <v>81.5</v>
      </c>
      <c r="I2637" s="7">
        <v>51.6</v>
      </c>
      <c r="J2637" s="7">
        <v>63.65</v>
      </c>
      <c r="K2637" s="7">
        <v>30.1</v>
      </c>
      <c r="M2637" s="7">
        <v>81.5</v>
      </c>
      <c r="N2637" s="7">
        <v>53.4</v>
      </c>
      <c r="O2637" s="70"/>
      <c r="P2637" s="17"/>
      <c r="Q2637" s="7">
        <f>(U2637*T2637)-(R2637*S2637)</f>
        <v>0</v>
      </c>
      <c r="R2637" s="109"/>
      <c r="S2637" s="18"/>
      <c r="T2637" s="18"/>
      <c r="U2637" s="109">
        <f>R2637</f>
        <v>0</v>
      </c>
      <c r="V2637" s="17"/>
      <c r="W2637" s="66">
        <v>0.54097222222222219</v>
      </c>
      <c r="X2637" s="7">
        <v>41.55</v>
      </c>
      <c r="Y2637" s="7">
        <v>34.1</v>
      </c>
      <c r="Z2637" s="66">
        <v>0.54097222222222219</v>
      </c>
    </row>
    <row r="2638" spans="2:26" x14ac:dyDescent="0.3">
      <c r="B2638" s="99">
        <f>B2637-50</f>
        <v>14450</v>
      </c>
      <c r="C2638" s="51">
        <v>54.35</v>
      </c>
      <c r="D2638" s="7">
        <v>54.3</v>
      </c>
      <c r="E2638" s="16"/>
      <c r="F2638" s="7">
        <f t="shared" si="224"/>
        <v>14395.7</v>
      </c>
      <c r="G2638" s="16">
        <f>H2638-(H2635-H2636)</f>
        <v>36.299999999999997</v>
      </c>
      <c r="H2638" s="7">
        <v>63</v>
      </c>
      <c r="I2638" s="7">
        <v>39.15</v>
      </c>
      <c r="J2638" s="7">
        <v>48.2</v>
      </c>
      <c r="K2638" s="7">
        <v>21.5</v>
      </c>
      <c r="M2638" s="7">
        <v>63</v>
      </c>
      <c r="N2638" s="7">
        <v>41.25</v>
      </c>
      <c r="O2638" s="70"/>
      <c r="P2638" s="17"/>
      <c r="Q2638" s="7">
        <f>SUM(Q2634:Q2637)</f>
        <v>-2070</v>
      </c>
      <c r="R2638" s="7">
        <f>SUM(R2634:R2637)</f>
        <v>150</v>
      </c>
      <c r="S2638" s="109">
        <f>R2638-U2638</f>
        <v>0</v>
      </c>
      <c r="T2638" s="114" t="e">
        <f>Q2638/S2638</f>
        <v>#DIV/0!</v>
      </c>
      <c r="U2638" s="7">
        <f>SUM(U2634:U2637)</f>
        <v>150</v>
      </c>
      <c r="V2638" s="17"/>
      <c r="W2638" s="66">
        <v>6.1805555555555558E-2</v>
      </c>
      <c r="X2638" s="7">
        <v>45.6</v>
      </c>
      <c r="Y2638" s="7">
        <v>30.4</v>
      </c>
      <c r="Z2638" s="66">
        <v>6.1805555555555558E-2</v>
      </c>
    </row>
    <row r="2639" spans="2:26" x14ac:dyDescent="0.3">
      <c r="B2639" s="5">
        <f>B2638-50</f>
        <v>14400</v>
      </c>
      <c r="C2639" s="7">
        <v>41.9</v>
      </c>
      <c r="D2639" s="7">
        <v>41.8</v>
      </c>
      <c r="E2639" s="16"/>
      <c r="F2639" s="7">
        <f t="shared" si="224"/>
        <v>14358.2</v>
      </c>
      <c r="G2639" s="16"/>
      <c r="H2639" s="7">
        <v>49.2</v>
      </c>
      <c r="I2639" s="7">
        <v>30</v>
      </c>
      <c r="J2639" s="7">
        <v>36.75</v>
      </c>
      <c r="K2639" s="7">
        <v>14.8</v>
      </c>
      <c r="M2639" s="7">
        <v>49.2</v>
      </c>
      <c r="N2639" s="7">
        <v>31.9</v>
      </c>
      <c r="O2639" s="70"/>
      <c r="W2639" s="66">
        <v>8.2638888888888887E-2</v>
      </c>
      <c r="X2639" s="7">
        <v>35.75</v>
      </c>
      <c r="Y2639" s="7">
        <v>30.1</v>
      </c>
      <c r="Z2639" s="66">
        <v>8.2638888888888887E-2</v>
      </c>
    </row>
    <row r="2640" spans="2:26" x14ac:dyDescent="0.3">
      <c r="H2640" s="7"/>
      <c r="I2640" s="7"/>
      <c r="J2640" s="7"/>
      <c r="K2640" s="7"/>
      <c r="P2640" s="98">
        <f>Q2638</f>
        <v>-2070</v>
      </c>
      <c r="Q2640" s="92" t="s">
        <v>72</v>
      </c>
      <c r="R2640" s="17"/>
      <c r="T2640" s="92" t="s">
        <v>73</v>
      </c>
      <c r="U2640" s="7">
        <f>((X2632+Y2632)-(X2640+Y2640))</f>
        <v>-1.75</v>
      </c>
      <c r="V2640" s="98">
        <f>U2640*150</f>
        <v>-262.5</v>
      </c>
      <c r="W2640" s="66">
        <v>0.4375</v>
      </c>
      <c r="X2640" s="7">
        <v>43.2</v>
      </c>
      <c r="Y2640" s="23">
        <v>52.35</v>
      </c>
      <c r="Z2640" s="66">
        <v>0.41944444444444445</v>
      </c>
    </row>
    <row r="2650" spans="2:26" x14ac:dyDescent="0.3">
      <c r="B2650" s="40"/>
      <c r="C2650" s="50">
        <f>AVERAGE(B2651,D2650)</f>
        <v>14767.2</v>
      </c>
      <c r="D2650" s="51">
        <f>B2651+E2651</f>
        <v>14822.2</v>
      </c>
      <c r="E2650" s="50">
        <f>AVERAGE(D2650,F2650)</f>
        <v>14877.2</v>
      </c>
      <c r="F2650" s="50">
        <f>D2650+E2651</f>
        <v>14932.2</v>
      </c>
      <c r="G2650" s="17"/>
      <c r="H2650" s="88" t="str">
        <f>IF((C2659-D2659)&gt;(C2670-D2670),"LONG",IF(C2670&gt;D2668,"LONG","SHORT"))</f>
        <v>SHORT</v>
      </c>
      <c r="I2650" s="104">
        <v>14687</v>
      </c>
      <c r="J2650" s="120" t="s">
        <v>122</v>
      </c>
      <c r="K2650" s="106">
        <v>14746</v>
      </c>
      <c r="L2650" s="17"/>
      <c r="N2650" s="17"/>
      <c r="O2650" s="17"/>
      <c r="U2650" s="17"/>
      <c r="V2650" s="17"/>
    </row>
    <row r="2651" spans="2:26" x14ac:dyDescent="0.3">
      <c r="B2651" s="50">
        <v>14712.2</v>
      </c>
      <c r="C2651" s="40"/>
      <c r="D2651" s="58"/>
      <c r="E2651" s="59">
        <f>ROUND((((B2651*F2651%)/4)/10),0)*10</f>
        <v>110</v>
      </c>
      <c r="F2651" s="51">
        <f>(100/B2651)*(F2660-F2671)</f>
        <v>3.0199426326450229</v>
      </c>
      <c r="G2651" s="17"/>
      <c r="H2651" s="93">
        <v>0.39166666666666666</v>
      </c>
      <c r="I2651" s="93">
        <v>0.39861111111111108</v>
      </c>
      <c r="J2651" s="93">
        <v>0.4055555555555555</v>
      </c>
      <c r="K2651" s="93">
        <v>0.41250000000000003</v>
      </c>
      <c r="M2651" s="50">
        <v>10178</v>
      </c>
      <c r="N2651" s="17"/>
      <c r="O2651" s="17"/>
      <c r="P2651" s="40"/>
      <c r="U2651" s="17"/>
      <c r="V2651" s="17"/>
      <c r="W2651" s="90" t="s">
        <v>68</v>
      </c>
      <c r="X2651" s="119" t="s">
        <v>69</v>
      </c>
      <c r="Y2651" s="92" t="s">
        <v>70</v>
      </c>
      <c r="Z2651" s="90" t="s">
        <v>68</v>
      </c>
    </row>
    <row r="2652" spans="2:26" x14ac:dyDescent="0.3">
      <c r="B2652" s="40"/>
      <c r="C2652" s="50">
        <f>AVERAGE(B2651,D2652)</f>
        <v>14657.2</v>
      </c>
      <c r="D2652" s="51">
        <f>B2651-E2651</f>
        <v>14602.2</v>
      </c>
      <c r="E2652" s="50">
        <f>AVERAGE(D2652,F2652)</f>
        <v>14547.2</v>
      </c>
      <c r="F2652" s="50">
        <f>D2652-E2651</f>
        <v>14492.2</v>
      </c>
      <c r="G2652" s="17"/>
      <c r="H2652" s="51">
        <v>14697.35</v>
      </c>
      <c r="I2652" s="51">
        <v>14714</v>
      </c>
      <c r="J2652" s="51">
        <v>14725.05</v>
      </c>
      <c r="K2652" s="51">
        <v>14722.05</v>
      </c>
      <c r="L2652" s="17"/>
      <c r="N2652" s="17"/>
      <c r="O2652" s="17"/>
      <c r="P2652" s="40"/>
      <c r="Q2652" s="17"/>
      <c r="R2652" s="17"/>
      <c r="S2652" s="17"/>
      <c r="T2652" s="16"/>
      <c r="U2652" s="17"/>
      <c r="V2652" s="17"/>
      <c r="W2652" s="66">
        <v>0.41597222222222219</v>
      </c>
      <c r="X2652" s="7">
        <v>124.25</v>
      </c>
      <c r="Y2652" s="7">
        <v>145.85</v>
      </c>
      <c r="Z2652" s="66">
        <v>0.41597222222222219</v>
      </c>
    </row>
    <row r="2653" spans="2:26" x14ac:dyDescent="0.3">
      <c r="B2653" s="17"/>
      <c r="C2653" s="17"/>
      <c r="D2653" s="17"/>
      <c r="E2653" s="17"/>
      <c r="F2653" s="16"/>
      <c r="G2653" s="16"/>
      <c r="H2653" s="17"/>
      <c r="I2653" s="17"/>
      <c r="J2653" s="17"/>
      <c r="K2653" s="16"/>
      <c r="L2653" s="17"/>
      <c r="M2653" s="17"/>
      <c r="N2653" s="17"/>
      <c r="O2653" s="17"/>
      <c r="P2653" s="40"/>
      <c r="Q2653" s="17"/>
      <c r="R2653" s="17"/>
      <c r="S2653" s="17"/>
      <c r="T2653" s="17"/>
      <c r="U2653" s="17"/>
      <c r="V2653" s="17"/>
      <c r="W2653" s="66">
        <v>0.4368055555555555</v>
      </c>
      <c r="X2653" s="7">
        <v>114.05</v>
      </c>
      <c r="Y2653" s="7">
        <v>159.1</v>
      </c>
      <c r="Z2653" s="66">
        <v>0.4368055555555555</v>
      </c>
    </row>
    <row r="2654" spans="2:26" x14ac:dyDescent="0.3">
      <c r="B2654" s="16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40"/>
      <c r="Q2654" s="17"/>
      <c r="R2654" s="17"/>
      <c r="S2654" s="17"/>
      <c r="T2654" s="17"/>
      <c r="U2654" s="17"/>
      <c r="V2654" s="17"/>
      <c r="W2654" s="66">
        <v>0.45763888888888887</v>
      </c>
      <c r="X2654" s="7">
        <v>115.95</v>
      </c>
      <c r="Y2654" s="7">
        <v>151.94999999999999</v>
      </c>
      <c r="Z2654" s="66">
        <v>0.45763888888888887</v>
      </c>
    </row>
    <row r="2655" spans="2:26" x14ac:dyDescent="0.3">
      <c r="B2655" s="16"/>
      <c r="C2655" s="95">
        <v>44322</v>
      </c>
      <c r="D2655" s="17"/>
      <c r="E2655" s="17"/>
      <c r="F2655" s="7">
        <f>AVERAGE(F2657,F2668)</f>
        <v>14705.924999999999</v>
      </c>
      <c r="G2655" s="96"/>
      <c r="H2655" s="66">
        <v>0.42499999999999999</v>
      </c>
      <c r="I2655" s="66">
        <v>0.46666666666666662</v>
      </c>
      <c r="J2655" s="66"/>
      <c r="K2655" s="66">
        <v>0.13541666666666666</v>
      </c>
      <c r="M2655" s="66">
        <v>0.5229166666666667</v>
      </c>
      <c r="N2655" s="66"/>
      <c r="O2655" s="68"/>
      <c r="Q2655" s="17"/>
      <c r="R2655" s="17"/>
      <c r="S2655" s="17"/>
      <c r="T2655" s="17"/>
      <c r="U2655" s="17"/>
      <c r="V2655" s="17"/>
      <c r="W2655" s="66">
        <v>0.47847222222222219</v>
      </c>
      <c r="X2655" s="7">
        <v>110.75</v>
      </c>
      <c r="Y2655" s="7">
        <v>159</v>
      </c>
      <c r="Z2655" s="66">
        <v>0.47847222222222219</v>
      </c>
    </row>
    <row r="2656" spans="2:26" x14ac:dyDescent="0.3">
      <c r="B2656" s="90" t="s">
        <v>68</v>
      </c>
      <c r="C2656" s="66">
        <v>0.41666666666666669</v>
      </c>
      <c r="D2656" s="66">
        <v>0.3923611111111111</v>
      </c>
      <c r="E2656" s="17"/>
      <c r="F2656" s="17"/>
      <c r="G2656" s="17"/>
      <c r="H2656" s="7">
        <v>14700</v>
      </c>
      <c r="I2656" s="7">
        <v>14660</v>
      </c>
      <c r="J2656" s="7"/>
      <c r="K2656" s="7">
        <v>14763.15</v>
      </c>
      <c r="M2656" s="7">
        <v>14755.5</v>
      </c>
      <c r="N2656" s="7"/>
      <c r="O2656" s="70"/>
      <c r="R2656" s="158" t="s">
        <v>131</v>
      </c>
      <c r="S2656" s="158"/>
      <c r="U2656" s="17"/>
      <c r="V2656" s="17"/>
      <c r="W2656" s="66">
        <v>0.4993055555555555</v>
      </c>
      <c r="X2656" s="7">
        <v>118.05</v>
      </c>
      <c r="Y2656" s="7">
        <v>146.35</v>
      </c>
      <c r="Z2656" s="66">
        <v>0.4993055555555555</v>
      </c>
    </row>
    <row r="2657" spans="2:26" x14ac:dyDescent="0.3">
      <c r="B2657" s="5">
        <f>B2658-50</f>
        <v>14700</v>
      </c>
      <c r="C2657" s="7">
        <v>150.19999999999999</v>
      </c>
      <c r="D2657" s="7">
        <v>141.55000000000001</v>
      </c>
      <c r="E2657" s="16"/>
      <c r="F2657" s="7">
        <f t="shared" ref="F2657:F2662" si="225">B2657+D2657</f>
        <v>14841.55</v>
      </c>
      <c r="G2657" s="17"/>
      <c r="H2657" s="7">
        <v>144.05000000000001</v>
      </c>
      <c r="I2657" s="7">
        <v>124.25</v>
      </c>
      <c r="J2657" s="7"/>
      <c r="K2657" s="7">
        <v>164</v>
      </c>
      <c r="M2657" s="7">
        <v>164.4</v>
      </c>
      <c r="N2657" s="7"/>
      <c r="O2657" s="70"/>
      <c r="Q2657" s="150" t="s">
        <v>129</v>
      </c>
      <c r="R2657" s="151"/>
      <c r="S2657" s="151"/>
      <c r="T2657" s="151"/>
      <c r="V2657" s="17"/>
      <c r="W2657" s="66">
        <v>0.52013888888888882</v>
      </c>
      <c r="X2657" s="7">
        <v>131.25</v>
      </c>
      <c r="Y2657" s="7">
        <v>129.85</v>
      </c>
      <c r="Z2657" s="66">
        <v>0.52013888888888882</v>
      </c>
    </row>
    <row r="2658" spans="2:26" x14ac:dyDescent="0.3">
      <c r="B2658" s="5">
        <f>B2659-50</f>
        <v>14750</v>
      </c>
      <c r="C2658" s="7">
        <v>124.25</v>
      </c>
      <c r="D2658" s="7">
        <v>118.25</v>
      </c>
      <c r="E2658" s="16"/>
      <c r="F2658" s="7">
        <f t="shared" si="225"/>
        <v>14868.25</v>
      </c>
      <c r="G2658" s="17"/>
      <c r="H2658" s="7">
        <v>119.8</v>
      </c>
      <c r="I2658" s="7">
        <v>101.55</v>
      </c>
      <c r="J2658" s="7"/>
      <c r="K2658" s="7">
        <v>136.5</v>
      </c>
      <c r="M2658" s="7">
        <v>136.25</v>
      </c>
      <c r="N2658" s="7"/>
      <c r="O2658" s="70"/>
      <c r="P2658" s="17"/>
      <c r="Q2658" s="159">
        <v>44320</v>
      </c>
      <c r="R2658" s="160">
        <v>14538.25</v>
      </c>
      <c r="S2658" s="161">
        <v>14693.9</v>
      </c>
      <c r="T2658" s="159">
        <v>44321</v>
      </c>
      <c r="V2658" s="17"/>
      <c r="W2658" s="66">
        <v>0.54097222222222219</v>
      </c>
      <c r="X2658" s="7">
        <v>147.9</v>
      </c>
      <c r="Y2658" s="7">
        <v>120.85</v>
      </c>
      <c r="Z2658" s="66">
        <v>0.54097222222222219</v>
      </c>
    </row>
    <row r="2659" spans="2:26" x14ac:dyDescent="0.3">
      <c r="B2659" s="97">
        <v>14800</v>
      </c>
      <c r="C2659" s="7">
        <v>101.55</v>
      </c>
      <c r="D2659" s="7">
        <v>96.5</v>
      </c>
      <c r="E2659" s="16"/>
      <c r="F2659" s="7">
        <f t="shared" si="225"/>
        <v>14896.5</v>
      </c>
      <c r="G2659" s="17"/>
      <c r="H2659" s="7">
        <v>97.05</v>
      </c>
      <c r="I2659" s="7">
        <v>81.3</v>
      </c>
      <c r="J2659" s="7"/>
      <c r="K2659" s="7">
        <v>110.5</v>
      </c>
      <c r="M2659" s="7">
        <v>112.5</v>
      </c>
      <c r="N2659" s="7"/>
      <c r="O2659" s="70"/>
      <c r="P2659" s="17"/>
      <c r="Q2659" s="159">
        <v>44321</v>
      </c>
      <c r="R2659" s="161">
        <v>14573.9</v>
      </c>
      <c r="S2659" s="161">
        <v>14734</v>
      </c>
      <c r="T2659" s="159">
        <v>44319</v>
      </c>
      <c r="V2659" s="17"/>
      <c r="W2659" s="66">
        <v>6.1805555555555558E-2</v>
      </c>
      <c r="X2659" s="7">
        <v>136.75</v>
      </c>
      <c r="Y2659" s="7">
        <v>127.15</v>
      </c>
      <c r="Z2659" s="66">
        <v>6.1805555555555558E-2</v>
      </c>
    </row>
    <row r="2660" spans="2:26" x14ac:dyDescent="0.3">
      <c r="B2660" s="5">
        <f>B2659+50</f>
        <v>14850</v>
      </c>
      <c r="C2660" s="7">
        <v>81.3</v>
      </c>
      <c r="D2660" s="7">
        <v>77.849999999999994</v>
      </c>
      <c r="E2660" s="16"/>
      <c r="F2660" s="98">
        <f t="shared" si="225"/>
        <v>14927.85</v>
      </c>
      <c r="G2660" s="17"/>
      <c r="H2660" s="7">
        <v>78.400000000000006</v>
      </c>
      <c r="I2660" s="7">
        <v>64.150000000000006</v>
      </c>
      <c r="J2660" s="7"/>
      <c r="K2660" s="7">
        <v>88</v>
      </c>
      <c r="M2660" s="7">
        <v>91</v>
      </c>
      <c r="N2660" s="7"/>
      <c r="O2660" s="70"/>
      <c r="P2660" s="17"/>
      <c r="Q2660" s="159">
        <v>44319</v>
      </c>
      <c r="R2660" s="161">
        <v>14584</v>
      </c>
      <c r="S2660" s="161">
        <v>14738.25</v>
      </c>
      <c r="T2660" s="159">
        <v>44320</v>
      </c>
      <c r="V2660" s="17"/>
      <c r="W2660" s="66">
        <v>8.2638888888888887E-2</v>
      </c>
      <c r="X2660" s="7">
        <v>138</v>
      </c>
      <c r="Y2660" s="7">
        <v>124.6</v>
      </c>
      <c r="Z2660" s="66">
        <v>8.2638888888888887E-2</v>
      </c>
    </row>
    <row r="2661" spans="2:26" x14ac:dyDescent="0.3">
      <c r="B2661" s="99">
        <f>B2660+50</f>
        <v>14900</v>
      </c>
      <c r="C2661" s="51">
        <v>64.150000000000006</v>
      </c>
      <c r="D2661" s="7">
        <v>61.75</v>
      </c>
      <c r="E2661" s="16"/>
      <c r="F2661" s="7">
        <f t="shared" si="225"/>
        <v>14961.75</v>
      </c>
      <c r="G2661" s="17"/>
      <c r="H2661" s="7">
        <v>61.15</v>
      </c>
      <c r="I2661" s="7">
        <v>50.05</v>
      </c>
      <c r="J2661" s="7"/>
      <c r="K2661" s="7">
        <v>68.2</v>
      </c>
      <c r="M2661" s="7">
        <v>72.05</v>
      </c>
      <c r="N2661" s="7"/>
      <c r="O2661" s="70"/>
      <c r="P2661" s="17"/>
      <c r="Q2661" s="159">
        <v>44316</v>
      </c>
      <c r="R2661" s="161">
        <v>14697</v>
      </c>
      <c r="S2661" s="161">
        <v>14877</v>
      </c>
      <c r="T2661" s="159">
        <v>44316</v>
      </c>
      <c r="V2661" s="17"/>
    </row>
    <row r="2662" spans="2:26" x14ac:dyDescent="0.3">
      <c r="B2662" s="5">
        <f>B2661+50</f>
        <v>14950</v>
      </c>
      <c r="C2662" s="7">
        <v>50.05</v>
      </c>
      <c r="D2662" s="7">
        <v>48.05</v>
      </c>
      <c r="E2662" s="16">
        <f>E2663-(F2663-E2663)</f>
        <v>50.649999999999991</v>
      </c>
      <c r="F2662" s="7">
        <f t="shared" si="225"/>
        <v>14998.05</v>
      </c>
      <c r="G2662" s="16"/>
      <c r="H2662" s="7">
        <v>47.2</v>
      </c>
      <c r="I2662" s="7">
        <v>35.950000000000003</v>
      </c>
      <c r="J2662" s="7"/>
      <c r="K2662" s="7">
        <v>51.75</v>
      </c>
      <c r="M2662" s="7">
        <v>56.2</v>
      </c>
      <c r="N2662" s="7"/>
      <c r="O2662" s="70"/>
      <c r="P2662" s="17"/>
      <c r="Q2662" s="159">
        <v>44315</v>
      </c>
      <c r="R2662" s="161">
        <v>14812.3</v>
      </c>
      <c r="S2662" s="161">
        <v>14922.3</v>
      </c>
      <c r="T2662" s="159">
        <v>44315</v>
      </c>
      <c r="V2662" s="17"/>
    </row>
    <row r="2663" spans="2:26" x14ac:dyDescent="0.3">
      <c r="B2663" s="17"/>
      <c r="C2663" s="17"/>
      <c r="D2663" s="16"/>
      <c r="E2663" s="16">
        <f>F2663-(G2663-F2663)</f>
        <v>68.849999999999994</v>
      </c>
      <c r="F2663" s="16">
        <f>AVERAGE(C2660,C2673)</f>
        <v>87.05</v>
      </c>
      <c r="G2663" s="16">
        <f>AVERAGE(C2659,C2672)</f>
        <v>105.25</v>
      </c>
      <c r="H2663" s="7"/>
      <c r="I2663" s="7"/>
      <c r="J2663" s="7"/>
      <c r="K2663" s="7"/>
      <c r="P2663" s="17"/>
      <c r="V2663" s="16"/>
    </row>
    <row r="2664" spans="2:26" x14ac:dyDescent="0.3">
      <c r="B2664" s="17"/>
      <c r="C2664" s="17"/>
      <c r="D2664" s="16"/>
      <c r="E2664" s="16"/>
      <c r="F2664" s="16"/>
      <c r="G2664" s="16"/>
      <c r="P2664" s="17"/>
      <c r="Q2664" s="17"/>
      <c r="R2664" s="17"/>
      <c r="S2664" s="17"/>
      <c r="T2664" s="17"/>
      <c r="U2664" s="16"/>
      <c r="V2664" s="16"/>
      <c r="W2664" s="90" t="s">
        <v>68</v>
      </c>
      <c r="X2664" s="119" t="s">
        <v>69</v>
      </c>
      <c r="Y2664" s="92" t="s">
        <v>70</v>
      </c>
      <c r="Z2664" s="90" t="s">
        <v>68</v>
      </c>
    </row>
    <row r="2665" spans="2:26" x14ac:dyDescent="0.3">
      <c r="B2665" s="17"/>
      <c r="C2665" s="17"/>
      <c r="D2665" s="16"/>
      <c r="E2665" s="16"/>
      <c r="F2665" s="16"/>
      <c r="G2665" s="16"/>
      <c r="H2665" s="101"/>
      <c r="I2665" s="101"/>
      <c r="J2665" s="101"/>
      <c r="K2665" s="101"/>
      <c r="M2665" s="101"/>
      <c r="N2665" s="101"/>
      <c r="O2665" s="101"/>
      <c r="P2665" s="17"/>
      <c r="Q2665" s="17"/>
      <c r="R2665" s="17"/>
      <c r="S2665" s="17"/>
      <c r="T2665" s="17"/>
      <c r="U2665" s="16"/>
      <c r="V2665" s="16"/>
      <c r="W2665" s="66">
        <v>0.41597222222222219</v>
      </c>
      <c r="X2665" s="7">
        <v>64.150000000000006</v>
      </c>
      <c r="Y2665" s="7">
        <v>92.8</v>
      </c>
      <c r="Z2665" s="66">
        <v>0.41597222222222219</v>
      </c>
    </row>
    <row r="2666" spans="2:26" x14ac:dyDescent="0.3">
      <c r="B2666" s="16"/>
      <c r="C2666" s="95">
        <v>44298</v>
      </c>
      <c r="D2666" s="17"/>
      <c r="F2666" s="16"/>
      <c r="H2666" s="66">
        <v>0.42499999999999999</v>
      </c>
      <c r="I2666" s="66" t="s">
        <v>132</v>
      </c>
      <c r="J2666" s="66"/>
      <c r="K2666" s="66">
        <v>0.13541666666666666</v>
      </c>
      <c r="M2666" s="66">
        <v>0.5229166666666667</v>
      </c>
      <c r="N2666" s="66"/>
      <c r="O2666" s="68"/>
      <c r="P2666" s="17"/>
      <c r="Q2666" s="150" t="s">
        <v>72</v>
      </c>
      <c r="R2666" s="151"/>
      <c r="S2666" s="151"/>
      <c r="T2666" s="151"/>
      <c r="U2666" s="152"/>
      <c r="V2666" s="17"/>
      <c r="W2666" s="66">
        <v>0.4368055555555555</v>
      </c>
      <c r="X2666" s="7">
        <v>58.45</v>
      </c>
      <c r="Y2666" s="7">
        <v>100.75</v>
      </c>
      <c r="Z2666" s="66">
        <v>0.4368055555555555</v>
      </c>
    </row>
    <row r="2667" spans="2:26" x14ac:dyDescent="0.3">
      <c r="B2667" s="90" t="s">
        <v>68</v>
      </c>
      <c r="C2667" s="66">
        <v>0.41666666666666669</v>
      </c>
      <c r="D2667" s="66">
        <v>0.40208333333333335</v>
      </c>
      <c r="E2667" s="16">
        <f>F2667-(G2667-F2667)</f>
        <v>76.5</v>
      </c>
      <c r="F2667" s="16">
        <f>AVERAGE(C2672,C2660)</f>
        <v>95.125</v>
      </c>
      <c r="G2667" s="16">
        <f>AVERAGE(C2671,C2659)</f>
        <v>113.75</v>
      </c>
      <c r="H2667" s="23">
        <v>95.1</v>
      </c>
      <c r="I2667" s="23">
        <v>108.95</v>
      </c>
      <c r="J2667" s="23">
        <v>87.35</v>
      </c>
      <c r="K2667" s="7">
        <v>14763.15</v>
      </c>
      <c r="M2667" s="23">
        <v>79.650000000000006</v>
      </c>
      <c r="N2667" s="7"/>
      <c r="O2667" s="70"/>
      <c r="P2667" s="17"/>
      <c r="Q2667" s="34"/>
      <c r="R2667" s="34" t="s">
        <v>111</v>
      </c>
      <c r="S2667" s="34" t="s">
        <v>2</v>
      </c>
      <c r="T2667" s="34" t="s">
        <v>1</v>
      </c>
      <c r="U2667" s="34" t="s">
        <v>111</v>
      </c>
      <c r="V2667" s="17"/>
      <c r="W2667" s="66">
        <v>0.45763888888888887</v>
      </c>
      <c r="X2667" s="7">
        <v>58.55</v>
      </c>
      <c r="Y2667" s="7">
        <v>96.8</v>
      </c>
      <c r="Z2667" s="66">
        <v>0.45763888888888887</v>
      </c>
    </row>
    <row r="2668" spans="2:26" x14ac:dyDescent="0.3">
      <c r="B2668" s="5">
        <f>B2669+50</f>
        <v>14750</v>
      </c>
      <c r="C2668" s="7">
        <v>192.45</v>
      </c>
      <c r="D2668" s="7">
        <v>179.7</v>
      </c>
      <c r="E2668" s="16">
        <f>E2667-(F2667-E2667)</f>
        <v>57.875</v>
      </c>
      <c r="F2668" s="7">
        <f t="shared" ref="F2668:F2673" si="226">B2668-D2668</f>
        <v>14570.3</v>
      </c>
      <c r="G2668" s="16"/>
      <c r="H2668" s="7">
        <v>196.2</v>
      </c>
      <c r="I2668" s="7">
        <v>216.85</v>
      </c>
      <c r="J2668" s="7"/>
      <c r="K2668" s="7">
        <v>160.94999999999999</v>
      </c>
      <c r="M2668" s="7">
        <v>172.2</v>
      </c>
      <c r="N2668" s="7"/>
      <c r="O2668" s="70"/>
      <c r="P2668" s="17"/>
      <c r="Q2668" s="7">
        <f>(U2668*T2668)-(R2668*S2668)</f>
        <v>-618.75</v>
      </c>
      <c r="R2668" s="109">
        <v>75</v>
      </c>
      <c r="S2668" s="7">
        <v>95.6</v>
      </c>
      <c r="T2668" s="18">
        <v>87.35</v>
      </c>
      <c r="U2668" s="109">
        <f>R2668</f>
        <v>75</v>
      </c>
      <c r="V2668" s="16"/>
      <c r="W2668" s="66">
        <v>0.47847222222222219</v>
      </c>
      <c r="X2668" s="7">
        <v>56.85</v>
      </c>
      <c r="Y2668" s="7">
        <v>101.1</v>
      </c>
      <c r="Z2668" s="66">
        <v>0.47847222222222219</v>
      </c>
    </row>
    <row r="2669" spans="2:26" x14ac:dyDescent="0.3">
      <c r="B2669" s="5">
        <f>B2670+50</f>
        <v>14700</v>
      </c>
      <c r="C2669" s="7">
        <v>168.05</v>
      </c>
      <c r="D2669" s="7">
        <v>156.69999999999999</v>
      </c>
      <c r="E2669" s="16"/>
      <c r="F2669" s="7">
        <f t="shared" si="226"/>
        <v>14543.3</v>
      </c>
      <c r="G2669" s="17"/>
      <c r="H2669" s="7">
        <v>173.05</v>
      </c>
      <c r="I2669" s="7">
        <v>192.45</v>
      </c>
      <c r="J2669" s="7"/>
      <c r="K2669" s="7">
        <v>138.94999999999999</v>
      </c>
      <c r="M2669" s="7">
        <v>146.69999999999999</v>
      </c>
      <c r="N2669" s="7"/>
      <c r="O2669" s="70"/>
      <c r="P2669" s="17"/>
      <c r="Q2669" s="7">
        <f>(U2669*T2669)-(R2669*S2669)</f>
        <v>-618.75</v>
      </c>
      <c r="R2669" s="109">
        <v>75</v>
      </c>
      <c r="S2669" s="7">
        <v>95.6</v>
      </c>
      <c r="T2669" s="18">
        <v>87.35</v>
      </c>
      <c r="U2669" s="109">
        <f>R2669</f>
        <v>75</v>
      </c>
      <c r="V2669" s="16"/>
      <c r="W2669" s="66">
        <v>0.4993055555555555</v>
      </c>
      <c r="X2669" s="7">
        <v>61.5</v>
      </c>
      <c r="Y2669" s="7">
        <v>91.6</v>
      </c>
      <c r="Z2669" s="66">
        <v>0.4993055555555555</v>
      </c>
    </row>
    <row r="2670" spans="2:26" x14ac:dyDescent="0.3">
      <c r="B2670" s="97">
        <v>14650</v>
      </c>
      <c r="C2670" s="7">
        <v>145.85</v>
      </c>
      <c r="D2670" s="7">
        <v>135.9</v>
      </c>
      <c r="E2670" s="16"/>
      <c r="F2670" s="7">
        <f t="shared" si="226"/>
        <v>14514.1</v>
      </c>
      <c r="G2670" s="17"/>
      <c r="H2670" s="7">
        <v>150</v>
      </c>
      <c r="I2670" s="7">
        <v>168.05</v>
      </c>
      <c r="J2670" s="7"/>
      <c r="K2670" s="7">
        <v>118.85</v>
      </c>
      <c r="M2670" s="7">
        <v>127.2</v>
      </c>
      <c r="N2670" s="7"/>
      <c r="O2670" s="70"/>
      <c r="P2670" s="17"/>
      <c r="Q2670" s="7">
        <f>(U2670*T2670)-(R2670*S2670)</f>
        <v>0</v>
      </c>
      <c r="R2670" s="109"/>
      <c r="S2670" s="18"/>
      <c r="T2670" s="18"/>
      <c r="U2670" s="109">
        <f>R2670</f>
        <v>0</v>
      </c>
      <c r="V2670" s="17"/>
      <c r="W2670" s="66">
        <v>0.52013888888888882</v>
      </c>
      <c r="X2670" s="7">
        <v>68.75</v>
      </c>
      <c r="Y2670" s="7">
        <v>81.400000000000006</v>
      </c>
      <c r="Z2670" s="66">
        <v>0.52013888888888882</v>
      </c>
    </row>
    <row r="2671" spans="2:26" x14ac:dyDescent="0.3">
      <c r="B2671" s="14">
        <f>B2670-50</f>
        <v>14600</v>
      </c>
      <c r="C2671" s="7">
        <v>125.95</v>
      </c>
      <c r="D2671" s="7">
        <v>116.45</v>
      </c>
      <c r="E2671" s="16"/>
      <c r="F2671" s="98">
        <f t="shared" si="226"/>
        <v>14483.55</v>
      </c>
      <c r="G2671" s="17"/>
      <c r="H2671" s="7">
        <v>129.75</v>
      </c>
      <c r="I2671" s="7">
        <v>145.85</v>
      </c>
      <c r="J2671" s="7"/>
      <c r="K2671" s="7">
        <v>101.55</v>
      </c>
      <c r="M2671" s="7">
        <v>108.6</v>
      </c>
      <c r="N2671" s="7"/>
      <c r="O2671" s="70"/>
      <c r="P2671" s="17"/>
      <c r="Q2671" s="7">
        <f>(U2671*T2671)-(R2671*S2671)</f>
        <v>0</v>
      </c>
      <c r="R2671" s="109"/>
      <c r="S2671" s="18"/>
      <c r="T2671" s="18"/>
      <c r="U2671" s="109">
        <f>R2671</f>
        <v>0</v>
      </c>
      <c r="V2671" s="17"/>
      <c r="W2671" s="66">
        <v>0.54097222222222219</v>
      </c>
      <c r="X2671" s="7">
        <v>79.2</v>
      </c>
      <c r="Y2671" s="7">
        <v>76.25</v>
      </c>
      <c r="Z2671" s="66">
        <v>0.54097222222222219</v>
      </c>
    </row>
    <row r="2672" spans="2:26" x14ac:dyDescent="0.3">
      <c r="B2672" s="99">
        <f>B2671-50</f>
        <v>14550</v>
      </c>
      <c r="C2672" s="7">
        <v>108.95</v>
      </c>
      <c r="D2672" s="7">
        <v>100.4</v>
      </c>
      <c r="E2672" s="16"/>
      <c r="F2672" s="7">
        <f t="shared" si="226"/>
        <v>14449.6</v>
      </c>
      <c r="G2672" s="17"/>
      <c r="H2672" s="7">
        <v>111.95</v>
      </c>
      <c r="I2672" s="7">
        <v>125.95</v>
      </c>
      <c r="J2672" s="7"/>
      <c r="K2672" s="7">
        <v>87.5</v>
      </c>
      <c r="M2672" s="7">
        <v>93.75</v>
      </c>
      <c r="N2672" s="7"/>
      <c r="O2672" s="70"/>
      <c r="P2672" s="17"/>
      <c r="Q2672" s="7">
        <f>SUM(Q2668:Q2671)</f>
        <v>-1237.5</v>
      </c>
      <c r="R2672" s="7">
        <f>SUM(R2668:R2671)</f>
        <v>150</v>
      </c>
      <c r="S2672" s="109">
        <f>R2672-U2672</f>
        <v>0</v>
      </c>
      <c r="T2672" s="114" t="e">
        <f>Q2672/S2672</f>
        <v>#DIV/0!</v>
      </c>
      <c r="U2672" s="7">
        <f>SUM(U2668:U2671)</f>
        <v>150</v>
      </c>
      <c r="V2672" s="17"/>
      <c r="W2672" s="66">
        <v>6.1805555555555558E-2</v>
      </c>
      <c r="X2672" s="7">
        <v>72.150000000000006</v>
      </c>
      <c r="Y2672" s="7">
        <v>79.75</v>
      </c>
      <c r="Z2672" s="66">
        <v>6.1805555555555558E-2</v>
      </c>
    </row>
    <row r="2673" spans="2:26" x14ac:dyDescent="0.3">
      <c r="B2673" s="5">
        <f>B2672-50</f>
        <v>14500</v>
      </c>
      <c r="C2673" s="51">
        <v>92.8</v>
      </c>
      <c r="D2673" s="7">
        <v>85.2</v>
      </c>
      <c r="E2673" s="16"/>
      <c r="F2673" s="7">
        <f t="shared" si="226"/>
        <v>14414.8</v>
      </c>
      <c r="G2673" s="16">
        <v>72.75</v>
      </c>
      <c r="H2673" s="7">
        <v>95.6</v>
      </c>
      <c r="I2673" s="7">
        <v>108.95</v>
      </c>
      <c r="J2673" s="7"/>
      <c r="K2673" s="7">
        <v>74.849999999999994</v>
      </c>
      <c r="M2673" s="7">
        <v>80.2</v>
      </c>
      <c r="N2673" s="7"/>
      <c r="O2673" s="70"/>
      <c r="W2673" s="66">
        <v>8.2638888888888887E-2</v>
      </c>
      <c r="X2673" s="7">
        <v>71.55</v>
      </c>
      <c r="Y2673" s="7">
        <v>77.650000000000006</v>
      </c>
      <c r="Z2673" s="66">
        <v>8.2638888888888887E-2</v>
      </c>
    </row>
    <row r="2674" spans="2:26" x14ac:dyDescent="0.3">
      <c r="C2674" s="7">
        <v>79.650000000000006</v>
      </c>
      <c r="H2674" s="7">
        <v>81.900000000000006</v>
      </c>
      <c r="I2674" s="7">
        <v>92.8</v>
      </c>
      <c r="J2674" s="7"/>
      <c r="K2674" s="7">
        <v>64.25</v>
      </c>
      <c r="P2674" s="98">
        <f>Q2672</f>
        <v>-1237.5</v>
      </c>
      <c r="Q2674" s="92" t="s">
        <v>72</v>
      </c>
      <c r="R2674" s="17"/>
      <c r="T2674" s="92" t="s">
        <v>73</v>
      </c>
      <c r="U2674" s="7">
        <f>((X2666+Y2666)-(X2674+Y2674))</f>
        <v>-2.7000000000000171</v>
      </c>
      <c r="V2674" s="98">
        <f>U2674*150</f>
        <v>-405.00000000000256</v>
      </c>
      <c r="W2674" s="66">
        <v>0.45208333333333334</v>
      </c>
      <c r="X2674" s="7">
        <v>61.15</v>
      </c>
      <c r="Y2674" s="7">
        <v>100.75</v>
      </c>
      <c r="Z2674" s="66">
        <v>0.4368055555555555</v>
      </c>
    </row>
    <row r="2675" spans="2:26" x14ac:dyDescent="0.3">
      <c r="H2675" s="40"/>
    </row>
    <row r="2684" spans="2:26" x14ac:dyDescent="0.3">
      <c r="B2684" s="40"/>
      <c r="C2684" s="50">
        <f>AVERAGE(B2685,D2684)</f>
        <v>14925.85</v>
      </c>
      <c r="D2684" s="51">
        <f>B2685+E2685</f>
        <v>14975.85</v>
      </c>
      <c r="E2684" s="50">
        <f>AVERAGE(D2684,F2684)</f>
        <v>15025.85</v>
      </c>
      <c r="F2684" s="50">
        <f>D2684+E2685</f>
        <v>15075.85</v>
      </c>
      <c r="G2684" s="17"/>
      <c r="H2684" s="88" t="str">
        <f>IF((C2693-D2693)&gt;(C2704-D2704),"LONG",IF(C2704&gt;D2702,"LONG","SHORT"))</f>
        <v>SHORT</v>
      </c>
      <c r="I2684" s="104">
        <v>14831</v>
      </c>
      <c r="J2684" s="120" t="s">
        <v>122</v>
      </c>
      <c r="K2684" s="106">
        <v>14908</v>
      </c>
      <c r="L2684" s="17"/>
      <c r="N2684" s="17"/>
      <c r="O2684" s="17"/>
      <c r="U2684" s="17"/>
      <c r="V2684" s="17"/>
    </row>
    <row r="2685" spans="2:26" x14ac:dyDescent="0.3">
      <c r="B2685" s="50">
        <v>14875.85</v>
      </c>
      <c r="C2685" s="40"/>
      <c r="D2685" s="58"/>
      <c r="E2685" s="59">
        <f>ROUND((((B2685*F2685%)/4)/10),0)*10</f>
        <v>100</v>
      </c>
      <c r="F2685" s="51">
        <f>(100/B2685)*(F2694-F2705)</f>
        <v>2.6828719031181438</v>
      </c>
      <c r="G2685" s="17"/>
      <c r="H2685" s="93">
        <v>0.39166666666666666</v>
      </c>
      <c r="I2685" s="93">
        <v>0.39861111111111108</v>
      </c>
      <c r="J2685" s="93">
        <v>0.4055555555555555</v>
      </c>
      <c r="K2685" s="93">
        <v>0.41250000000000003</v>
      </c>
      <c r="M2685" s="50">
        <f>7436+12000</f>
        <v>19436</v>
      </c>
      <c r="N2685" s="16"/>
      <c r="O2685" s="16"/>
      <c r="T2685" s="16"/>
      <c r="U2685" s="17"/>
      <c r="V2685" s="17"/>
      <c r="W2685" s="90" t="s">
        <v>68</v>
      </c>
      <c r="X2685" s="119" t="s">
        <v>69</v>
      </c>
      <c r="Y2685" s="92" t="s">
        <v>70</v>
      </c>
      <c r="Z2685" s="90" t="s">
        <v>68</v>
      </c>
    </row>
    <row r="2686" spans="2:26" x14ac:dyDescent="0.3">
      <c r="B2686" s="40"/>
      <c r="C2686" s="50">
        <f>AVERAGE(B2685,D2686)</f>
        <v>14825.85</v>
      </c>
      <c r="D2686" s="51">
        <f>B2685-E2685</f>
        <v>14775.85</v>
      </c>
      <c r="E2686" s="50">
        <f>AVERAGE(D2686,F2686)</f>
        <v>14725.85</v>
      </c>
      <c r="F2686" s="50">
        <f>D2686-E2685</f>
        <v>14675.85</v>
      </c>
      <c r="G2686" s="17"/>
      <c r="H2686" s="51">
        <v>14875.85</v>
      </c>
      <c r="I2686" s="51">
        <v>14899</v>
      </c>
      <c r="J2686" s="51">
        <v>14900</v>
      </c>
      <c r="K2686" s="51">
        <v>14888.1</v>
      </c>
      <c r="L2686" s="17"/>
      <c r="N2686" s="16"/>
      <c r="O2686" s="16"/>
      <c r="T2686" s="17"/>
      <c r="U2686" s="17"/>
      <c r="V2686" s="17"/>
      <c r="W2686" s="66">
        <v>0.41597222222222219</v>
      </c>
      <c r="X2686" s="7">
        <v>127.3</v>
      </c>
      <c r="Y2686" s="7">
        <v>139.65</v>
      </c>
      <c r="Z2686" s="66">
        <v>0.41597222222222219</v>
      </c>
    </row>
    <row r="2687" spans="2:26" x14ac:dyDescent="0.3">
      <c r="B2687" s="17"/>
      <c r="C2687" s="17"/>
      <c r="D2687" s="17"/>
      <c r="E2687" s="17"/>
      <c r="F2687" s="16"/>
      <c r="G2687" s="16"/>
      <c r="H2687" s="17"/>
      <c r="I2687" s="17"/>
      <c r="J2687" s="17"/>
      <c r="K2687" s="16"/>
      <c r="L2687" s="17"/>
      <c r="M2687" s="17"/>
      <c r="N2687" s="16"/>
      <c r="O2687" s="16"/>
      <c r="S2687" s="17"/>
      <c r="T2687" s="17"/>
      <c r="U2687" s="17"/>
      <c r="V2687" s="17"/>
      <c r="W2687" s="66">
        <v>0.4368055555555555</v>
      </c>
      <c r="X2687" s="7">
        <v>122.8</v>
      </c>
      <c r="Y2687" s="7">
        <v>143</v>
      </c>
      <c r="Z2687" s="66">
        <v>0.4368055555555555</v>
      </c>
    </row>
    <row r="2688" spans="2:26" x14ac:dyDescent="0.3">
      <c r="B2688" s="16"/>
      <c r="C2688" s="17"/>
      <c r="D2688" s="17"/>
      <c r="E2688" s="17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S2688" s="17"/>
      <c r="T2688" s="17"/>
      <c r="U2688" s="17"/>
      <c r="V2688" s="17"/>
      <c r="W2688" s="66">
        <v>0.45763888888888887</v>
      </c>
      <c r="X2688" s="7">
        <v>115.45</v>
      </c>
      <c r="Y2688" s="7">
        <v>146.55000000000001</v>
      </c>
      <c r="Z2688" s="66">
        <v>0.45763888888888887</v>
      </c>
    </row>
    <row r="2689" spans="2:26" x14ac:dyDescent="0.3">
      <c r="B2689" s="16"/>
      <c r="C2689" s="95">
        <v>44323</v>
      </c>
      <c r="D2689" s="17"/>
      <c r="E2689" s="17"/>
      <c r="F2689" s="7">
        <f>AVERAGE(F2691,F2702)</f>
        <v>14860.15</v>
      </c>
      <c r="G2689" s="96"/>
      <c r="H2689" s="66">
        <v>0.4465277777777778</v>
      </c>
      <c r="I2689" s="66">
        <v>0.50763888888888886</v>
      </c>
      <c r="J2689" s="66">
        <v>7.7083333333333337E-2</v>
      </c>
      <c r="K2689" s="66">
        <v>0.13541666666666666</v>
      </c>
      <c r="M2689" s="66">
        <v>0.50763888888888886</v>
      </c>
      <c r="N2689" s="66">
        <v>8.3333333333333329E-2</v>
      </c>
      <c r="O2689" s="68"/>
      <c r="U2689" s="17"/>
      <c r="V2689" s="17"/>
      <c r="W2689" s="66">
        <v>0.47847222222222219</v>
      </c>
      <c r="X2689" s="7">
        <v>120.5</v>
      </c>
      <c r="Y2689" s="7">
        <v>140</v>
      </c>
      <c r="Z2689" s="66">
        <v>0.47847222222222219</v>
      </c>
    </row>
    <row r="2690" spans="2:26" x14ac:dyDescent="0.3">
      <c r="B2690" s="90" t="s">
        <v>68</v>
      </c>
      <c r="C2690" s="66">
        <v>0.41666666666666669</v>
      </c>
      <c r="D2690" s="66">
        <v>0.38680555555555557</v>
      </c>
      <c r="E2690" s="17"/>
      <c r="F2690" s="17"/>
      <c r="G2690" s="17"/>
      <c r="H2690" s="7">
        <v>14847.3</v>
      </c>
      <c r="I2690" s="7">
        <v>14826.5</v>
      </c>
      <c r="J2690" s="7">
        <v>14865.5</v>
      </c>
      <c r="K2690" s="7">
        <v>14873.05</v>
      </c>
      <c r="M2690" s="23">
        <v>43.3</v>
      </c>
      <c r="N2690" s="7">
        <v>14881</v>
      </c>
      <c r="O2690" s="70"/>
      <c r="R2690" s="158" t="s">
        <v>131</v>
      </c>
      <c r="S2690" s="158"/>
      <c r="U2690" s="17"/>
      <c r="V2690" s="17"/>
      <c r="W2690" s="66">
        <v>0.4993055555555555</v>
      </c>
      <c r="X2690" s="7">
        <v>117.5</v>
      </c>
      <c r="Y2690" s="7">
        <v>142.5</v>
      </c>
      <c r="Z2690" s="66">
        <v>0.4993055555555555</v>
      </c>
    </row>
    <row r="2691" spans="2:26" x14ac:dyDescent="0.3">
      <c r="B2691" s="5">
        <f>B2692-50</f>
        <v>14850</v>
      </c>
      <c r="C2691" s="7">
        <v>127.3</v>
      </c>
      <c r="D2691" s="7">
        <v>122.4</v>
      </c>
      <c r="E2691" s="16"/>
      <c r="F2691" s="7">
        <f t="shared" ref="F2691:F2696" si="227">B2691+D2691</f>
        <v>14972.4</v>
      </c>
      <c r="G2691" s="17"/>
      <c r="H2691" s="7">
        <v>113.5</v>
      </c>
      <c r="I2691" s="7">
        <v>94.8</v>
      </c>
      <c r="J2691" s="7">
        <v>115.8</v>
      </c>
      <c r="K2691" s="7">
        <v>118.25</v>
      </c>
      <c r="M2691" s="7">
        <v>102.05</v>
      </c>
      <c r="N2691" s="7">
        <v>120.5</v>
      </c>
      <c r="O2691" s="70"/>
      <c r="Q2691" s="150" t="s">
        <v>129</v>
      </c>
      <c r="R2691" s="151"/>
      <c r="S2691" s="151"/>
      <c r="T2691" s="151"/>
      <c r="V2691" s="17"/>
      <c r="W2691" s="66">
        <v>0.52013888888888882</v>
      </c>
      <c r="X2691" s="7">
        <v>94.1</v>
      </c>
      <c r="Y2691" s="7">
        <v>158.19999999999999</v>
      </c>
      <c r="Z2691" s="66">
        <v>0.52013888888888882</v>
      </c>
    </row>
    <row r="2692" spans="2:26" x14ac:dyDescent="0.3">
      <c r="B2692" s="5">
        <f>B2693-50</f>
        <v>14900</v>
      </c>
      <c r="C2692" s="7">
        <v>101.7</v>
      </c>
      <c r="D2692" s="7">
        <v>97.3</v>
      </c>
      <c r="E2692" s="16"/>
      <c r="F2692" s="7">
        <f t="shared" si="227"/>
        <v>14997.3</v>
      </c>
      <c r="G2692" s="17"/>
      <c r="H2692" s="7">
        <v>90.05</v>
      </c>
      <c r="I2692" s="7">
        <v>80.05</v>
      </c>
      <c r="J2692" s="7">
        <v>90.7</v>
      </c>
      <c r="K2692" s="7">
        <v>93.5</v>
      </c>
      <c r="M2692" s="7">
        <v>80.05</v>
      </c>
      <c r="N2692" s="7">
        <v>95.65</v>
      </c>
      <c r="O2692" s="70"/>
      <c r="P2692" s="17"/>
      <c r="Q2692" s="159">
        <v>44320</v>
      </c>
      <c r="R2692" s="161">
        <v>14538.25</v>
      </c>
      <c r="S2692" s="161">
        <v>14693.9</v>
      </c>
      <c r="T2692" s="159">
        <v>44321</v>
      </c>
      <c r="V2692" s="17"/>
      <c r="W2692" s="66">
        <v>0.54097222222222219</v>
      </c>
      <c r="X2692" s="7">
        <v>104.3</v>
      </c>
      <c r="Y2692" s="7">
        <v>153.75</v>
      </c>
      <c r="Z2692" s="66">
        <v>0.54097222222222219</v>
      </c>
    </row>
    <row r="2693" spans="2:26" x14ac:dyDescent="0.3">
      <c r="B2693" s="97">
        <v>14950</v>
      </c>
      <c r="C2693" s="7">
        <v>79</v>
      </c>
      <c r="D2693" s="7">
        <v>75.099999999999994</v>
      </c>
      <c r="E2693" s="16"/>
      <c r="F2693" s="7">
        <f t="shared" si="227"/>
        <v>15025.1</v>
      </c>
      <c r="G2693" s="17"/>
      <c r="H2693" s="7">
        <v>69.2</v>
      </c>
      <c r="I2693" s="7">
        <v>61.25</v>
      </c>
      <c r="J2693" s="7">
        <v>69.25</v>
      </c>
      <c r="K2693" s="7">
        <v>71.849999999999994</v>
      </c>
      <c r="M2693" s="7">
        <v>61.25</v>
      </c>
      <c r="N2693" s="7">
        <v>73.349999999999994</v>
      </c>
      <c r="O2693" s="70"/>
      <c r="P2693" s="17"/>
      <c r="Q2693" s="159">
        <v>44321</v>
      </c>
      <c r="R2693" s="161">
        <v>14573.9</v>
      </c>
      <c r="S2693" s="161">
        <v>14734</v>
      </c>
      <c r="T2693" s="159">
        <v>44319</v>
      </c>
      <c r="V2693" s="17"/>
      <c r="W2693" s="66">
        <v>6.1805555555555558E-2</v>
      </c>
      <c r="X2693" s="7">
        <v>98.15</v>
      </c>
      <c r="Y2693" s="7">
        <v>158.44999999999999</v>
      </c>
      <c r="Z2693" s="66">
        <v>6.1805555555555558E-2</v>
      </c>
    </row>
    <row r="2694" spans="2:26" x14ac:dyDescent="0.3">
      <c r="B2694" s="5">
        <f>B2693+50</f>
        <v>15000</v>
      </c>
      <c r="C2694" s="51">
        <v>59.9</v>
      </c>
      <c r="D2694" s="23">
        <v>56.1</v>
      </c>
      <c r="E2694" s="16"/>
      <c r="F2694" s="98">
        <f t="shared" si="227"/>
        <v>15056.1</v>
      </c>
      <c r="G2694" s="17"/>
      <c r="H2694" s="7">
        <v>52</v>
      </c>
      <c r="I2694" s="7">
        <v>45.2</v>
      </c>
      <c r="J2694" s="7">
        <v>51.8</v>
      </c>
      <c r="K2694" s="7">
        <v>53.5</v>
      </c>
      <c r="M2694" s="7">
        <v>45.2</v>
      </c>
      <c r="N2694" s="7">
        <v>54.45</v>
      </c>
      <c r="O2694" s="70"/>
      <c r="P2694" s="17"/>
      <c r="Q2694" s="159">
        <v>44319</v>
      </c>
      <c r="R2694" s="161">
        <v>14584</v>
      </c>
      <c r="S2694" s="161">
        <v>14738.25</v>
      </c>
      <c r="T2694" s="159">
        <v>44320</v>
      </c>
      <c r="V2694" s="17"/>
      <c r="W2694" s="66">
        <v>8.2638888888888887E-2</v>
      </c>
      <c r="X2694" s="7">
        <v>115</v>
      </c>
      <c r="Y2694" s="7">
        <v>136.19999999999999</v>
      </c>
      <c r="Z2694" s="66">
        <v>8.2638888888888887E-2</v>
      </c>
    </row>
    <row r="2695" spans="2:26" x14ac:dyDescent="0.3">
      <c r="B2695" s="99">
        <f>B2694+50</f>
        <v>15050</v>
      </c>
      <c r="C2695" s="7">
        <v>43.3</v>
      </c>
      <c r="D2695" s="7">
        <v>40.9</v>
      </c>
      <c r="E2695" s="16"/>
      <c r="F2695" s="7">
        <f t="shared" si="227"/>
        <v>15090.9</v>
      </c>
      <c r="G2695" s="17"/>
      <c r="H2695" s="7">
        <v>37.4</v>
      </c>
      <c r="I2695" s="7">
        <v>32.200000000000003</v>
      </c>
      <c r="J2695" s="7">
        <v>36.85</v>
      </c>
      <c r="K2695" s="7">
        <v>38.299999999999997</v>
      </c>
      <c r="M2695" s="7">
        <v>32.200000000000003</v>
      </c>
      <c r="N2695" s="7">
        <v>38.950000000000003</v>
      </c>
      <c r="O2695" s="70"/>
      <c r="P2695" s="17"/>
      <c r="Q2695" s="159">
        <v>44322</v>
      </c>
      <c r="R2695" s="161">
        <v>14657.2</v>
      </c>
      <c r="S2695" s="161">
        <v>14767.2</v>
      </c>
      <c r="T2695" s="159">
        <v>44322</v>
      </c>
      <c r="V2695" s="17"/>
    </row>
    <row r="2696" spans="2:26" x14ac:dyDescent="0.3">
      <c r="B2696" s="5">
        <f>B2695+50</f>
        <v>15100</v>
      </c>
      <c r="C2696" s="7">
        <v>30.55</v>
      </c>
      <c r="D2696" s="7">
        <v>28.45</v>
      </c>
      <c r="E2696" s="16">
        <f>E2697-(F2697-E2697)</f>
        <v>43.775000000000006</v>
      </c>
      <c r="F2696" s="7">
        <f t="shared" si="227"/>
        <v>15128.45</v>
      </c>
      <c r="G2696" s="16"/>
      <c r="H2696" s="7">
        <v>26.55</v>
      </c>
      <c r="I2696" s="7">
        <v>22.45</v>
      </c>
      <c r="J2696" s="7">
        <v>25.7</v>
      </c>
      <c r="K2696" s="7">
        <v>26.7</v>
      </c>
      <c r="M2696" s="7">
        <v>22.45</v>
      </c>
      <c r="N2696" s="7">
        <v>27.05</v>
      </c>
      <c r="O2696" s="70"/>
      <c r="P2696" s="17"/>
      <c r="Q2696" s="159">
        <v>44316</v>
      </c>
      <c r="R2696" s="161">
        <v>14697</v>
      </c>
      <c r="S2696" s="161">
        <v>14877</v>
      </c>
      <c r="T2696" s="159">
        <v>44316</v>
      </c>
      <c r="V2696" s="17"/>
    </row>
    <row r="2697" spans="2:26" x14ac:dyDescent="0.3">
      <c r="B2697" s="17"/>
      <c r="C2697" s="17"/>
      <c r="D2697" s="16"/>
      <c r="E2697" s="16">
        <f>F2697-(G2697-F2697)</f>
        <v>62.900000000000006</v>
      </c>
      <c r="F2697" s="16">
        <f>AVERAGE(C2693,C2706)</f>
        <v>82.025000000000006</v>
      </c>
      <c r="G2697" s="16">
        <f>AVERAGE(C2692,C2705)</f>
        <v>101.15</v>
      </c>
      <c r="H2697" s="7"/>
      <c r="I2697" s="7"/>
      <c r="J2697" s="7"/>
      <c r="K2697" s="7"/>
      <c r="P2697" s="17"/>
      <c r="V2697" s="16"/>
    </row>
    <row r="2698" spans="2:26" x14ac:dyDescent="0.3">
      <c r="B2698" s="17"/>
      <c r="C2698" s="17"/>
      <c r="D2698" s="16"/>
      <c r="E2698" s="16"/>
      <c r="F2698" s="16"/>
      <c r="G2698" s="16"/>
      <c r="P2698" s="17"/>
      <c r="Q2698" s="17"/>
      <c r="R2698" s="17"/>
      <c r="S2698" s="17"/>
      <c r="T2698" s="17"/>
      <c r="U2698" s="16"/>
      <c r="V2698" s="16"/>
      <c r="W2698" s="90" t="s">
        <v>68</v>
      </c>
      <c r="X2698" s="119" t="s">
        <v>69</v>
      </c>
      <c r="Y2698" s="92" t="s">
        <v>70</v>
      </c>
      <c r="Z2698" s="90" t="s">
        <v>68</v>
      </c>
    </row>
    <row r="2699" spans="2:26" x14ac:dyDescent="0.3">
      <c r="B2699" s="17"/>
      <c r="C2699" s="17"/>
      <c r="D2699" s="16"/>
      <c r="E2699" s="16"/>
      <c r="F2699" s="16"/>
      <c r="G2699" s="16"/>
      <c r="H2699" s="101"/>
      <c r="I2699" s="101"/>
      <c r="J2699" s="101"/>
      <c r="K2699" s="101"/>
      <c r="M2699" s="101"/>
      <c r="N2699" s="101"/>
      <c r="O2699" s="101"/>
      <c r="P2699" s="17"/>
      <c r="Q2699" s="17"/>
      <c r="R2699" s="17"/>
      <c r="S2699" s="17"/>
      <c r="T2699" s="17"/>
      <c r="U2699" s="16"/>
      <c r="V2699" s="16"/>
      <c r="W2699" s="66">
        <v>0.41597222222222219</v>
      </c>
      <c r="X2699" s="7">
        <v>59.9</v>
      </c>
      <c r="Y2699" s="7">
        <v>85.05</v>
      </c>
      <c r="Z2699" s="66">
        <v>0.41597222222222219</v>
      </c>
    </row>
    <row r="2700" spans="2:26" x14ac:dyDescent="0.3">
      <c r="B2700" s="16"/>
      <c r="C2700" s="95">
        <v>44298</v>
      </c>
      <c r="D2700" s="17"/>
      <c r="F2700" s="16"/>
      <c r="H2700" s="66">
        <v>0.4465277777777778</v>
      </c>
      <c r="I2700" s="66" t="s">
        <v>127</v>
      </c>
      <c r="J2700" s="66">
        <v>7.7083333333333337E-2</v>
      </c>
      <c r="K2700" s="66">
        <v>0.13541666666666666</v>
      </c>
      <c r="M2700" s="66">
        <v>0.50763888888888886</v>
      </c>
      <c r="N2700" s="66">
        <v>8.3333333333333329E-2</v>
      </c>
      <c r="O2700" s="68"/>
      <c r="P2700" s="17"/>
      <c r="Q2700" s="150" t="s">
        <v>72</v>
      </c>
      <c r="R2700" s="151"/>
      <c r="S2700" s="151"/>
      <c r="T2700" s="151"/>
      <c r="U2700" s="152"/>
      <c r="V2700" s="17"/>
      <c r="W2700" s="66">
        <v>0.4368055555555555</v>
      </c>
      <c r="X2700" s="7">
        <v>57.15</v>
      </c>
      <c r="Y2700" s="7">
        <v>86.3</v>
      </c>
      <c r="Z2700" s="66">
        <v>0.4368055555555555</v>
      </c>
    </row>
    <row r="2701" spans="2:26" x14ac:dyDescent="0.3">
      <c r="B2701" s="90" t="s">
        <v>68</v>
      </c>
      <c r="C2701" s="66">
        <v>0.41666666666666669</v>
      </c>
      <c r="D2701" s="66">
        <v>0.3972222222222222</v>
      </c>
      <c r="E2701" s="16">
        <f>F2701-(G2701-F2701)</f>
        <v>69.424999999999983</v>
      </c>
      <c r="F2701" s="16">
        <f>AVERAGE(C2705,C2693)</f>
        <v>89.8</v>
      </c>
      <c r="G2701" s="16">
        <f>AVERAGE(C2704,C2692)</f>
        <v>110.17500000000001</v>
      </c>
      <c r="H2701" s="23">
        <v>89.8</v>
      </c>
      <c r="I2701" s="23">
        <v>97.7</v>
      </c>
      <c r="J2701" s="23">
        <v>77.099999999999994</v>
      </c>
      <c r="K2701" s="7">
        <v>14873.05</v>
      </c>
      <c r="M2701" s="7">
        <v>14826.5</v>
      </c>
      <c r="N2701" s="23">
        <v>71.599999999999994</v>
      </c>
      <c r="O2701" s="162"/>
      <c r="P2701" s="17"/>
      <c r="Q2701" s="34"/>
      <c r="R2701" s="34" t="s">
        <v>111</v>
      </c>
      <c r="S2701" s="34" t="s">
        <v>2</v>
      </c>
      <c r="T2701" s="34" t="s">
        <v>1</v>
      </c>
      <c r="U2701" s="34" t="s">
        <v>111</v>
      </c>
      <c r="V2701" s="17"/>
      <c r="W2701" s="66">
        <v>0.45763888888888887</v>
      </c>
      <c r="X2701" s="7">
        <v>53.2</v>
      </c>
      <c r="Y2701" s="7">
        <v>86.55</v>
      </c>
      <c r="Z2701" s="66">
        <v>0.45763888888888887</v>
      </c>
    </row>
    <row r="2702" spans="2:26" x14ac:dyDescent="0.3">
      <c r="B2702" s="5">
        <f>B2703+50</f>
        <v>14900</v>
      </c>
      <c r="C2702" s="7">
        <v>164.1</v>
      </c>
      <c r="D2702" s="7">
        <v>152.1</v>
      </c>
      <c r="E2702" s="16">
        <f>E2701-(F2701-E2701)</f>
        <v>49.049999999999969</v>
      </c>
      <c r="F2702" s="7">
        <f t="shared" ref="F2702:F2707" si="228">B2702-D2702</f>
        <v>14747.9</v>
      </c>
      <c r="G2702" s="16"/>
      <c r="H2702" s="7">
        <v>176.7</v>
      </c>
      <c r="I2702" s="7">
        <v>188.2</v>
      </c>
      <c r="J2702" s="7">
        <v>160.55000000000001</v>
      </c>
      <c r="K2702" s="7">
        <v>158.4</v>
      </c>
      <c r="M2702" s="7">
        <v>188.2</v>
      </c>
      <c r="N2702" s="7">
        <v>152.5</v>
      </c>
      <c r="O2702" s="70"/>
      <c r="P2702" s="17"/>
      <c r="Q2702" s="7">
        <f>(U2702*T2702)-(R2702*S2702)</f>
        <v>-990</v>
      </c>
      <c r="R2702" s="109">
        <v>75</v>
      </c>
      <c r="S2702" s="7">
        <v>90.3</v>
      </c>
      <c r="T2702" s="18">
        <v>77.099999999999994</v>
      </c>
      <c r="U2702" s="109">
        <f>R2702</f>
        <v>75</v>
      </c>
      <c r="V2702" s="16"/>
      <c r="W2702" s="66">
        <v>0.47847222222222219</v>
      </c>
      <c r="X2702" s="7">
        <v>55.25</v>
      </c>
      <c r="Y2702" s="7">
        <v>82.6</v>
      </c>
      <c r="Z2702" s="66">
        <v>0.47847222222222219</v>
      </c>
    </row>
    <row r="2703" spans="2:26" x14ac:dyDescent="0.3">
      <c r="B2703" s="5">
        <f>B2704+50</f>
        <v>14850</v>
      </c>
      <c r="C2703" s="7">
        <v>139.65</v>
      </c>
      <c r="D2703" s="7">
        <v>129.85</v>
      </c>
      <c r="E2703" s="16"/>
      <c r="F2703" s="7">
        <f t="shared" si="228"/>
        <v>14720.15</v>
      </c>
      <c r="G2703" s="17"/>
      <c r="H2703" s="7">
        <v>149.69999999999999</v>
      </c>
      <c r="I2703" s="7">
        <v>160.05000000000001</v>
      </c>
      <c r="J2703" s="7">
        <v>135.1</v>
      </c>
      <c r="K2703" s="7">
        <v>133.25</v>
      </c>
      <c r="M2703" s="7">
        <v>160.05000000000001</v>
      </c>
      <c r="N2703" s="7">
        <v>128.4</v>
      </c>
      <c r="O2703" s="70"/>
      <c r="P2703" s="17"/>
      <c r="Q2703" s="7">
        <f>(U2703*T2703)-(R2703*S2703)</f>
        <v>-990</v>
      </c>
      <c r="R2703" s="109">
        <v>75</v>
      </c>
      <c r="S2703" s="7">
        <v>90.3</v>
      </c>
      <c r="T2703" s="18">
        <v>77.099999999999994</v>
      </c>
      <c r="U2703" s="109">
        <f>R2703</f>
        <v>75</v>
      </c>
      <c r="V2703" s="16"/>
      <c r="W2703" s="66">
        <v>0.4993055555555555</v>
      </c>
      <c r="X2703" s="7">
        <v>53.6</v>
      </c>
      <c r="Y2703" s="7">
        <v>84</v>
      </c>
      <c r="Z2703" s="66">
        <v>0.4993055555555555</v>
      </c>
    </row>
    <row r="2704" spans="2:26" x14ac:dyDescent="0.3">
      <c r="B2704" s="97">
        <v>14800</v>
      </c>
      <c r="C2704" s="7">
        <v>118.65</v>
      </c>
      <c r="D2704" s="7">
        <v>109.8</v>
      </c>
      <c r="E2704" s="16"/>
      <c r="F2704" s="7">
        <f t="shared" si="228"/>
        <v>14690.2</v>
      </c>
      <c r="G2704" s="17"/>
      <c r="H2704" s="7">
        <v>126.95</v>
      </c>
      <c r="I2704" s="7">
        <v>135.5</v>
      </c>
      <c r="J2704" s="7">
        <v>112.7</v>
      </c>
      <c r="K2704" s="7">
        <v>111.45</v>
      </c>
      <c r="M2704" s="7">
        <v>135.5</v>
      </c>
      <c r="N2704" s="7">
        <v>107.4</v>
      </c>
      <c r="O2704" s="70"/>
      <c r="P2704" s="17"/>
      <c r="Q2704" s="7">
        <f>(U2704*T2704)-(R2704*S2704)</f>
        <v>0</v>
      </c>
      <c r="R2704" s="109"/>
      <c r="S2704" s="18"/>
      <c r="T2704" s="18"/>
      <c r="U2704" s="109">
        <f>R2704</f>
        <v>0</v>
      </c>
      <c r="V2704" s="17"/>
      <c r="W2704" s="66">
        <v>0.52013888888888882</v>
      </c>
      <c r="X2704" s="7">
        <v>46.1</v>
      </c>
      <c r="Y2704" s="7">
        <v>94.1</v>
      </c>
      <c r="Z2704" s="66">
        <v>0.52013888888888882</v>
      </c>
    </row>
    <row r="2705" spans="2:26" x14ac:dyDescent="0.3">
      <c r="B2705" s="14">
        <f>B2704-50</f>
        <v>14750</v>
      </c>
      <c r="C2705" s="7">
        <v>100.6</v>
      </c>
      <c r="D2705" s="23">
        <v>93</v>
      </c>
      <c r="E2705" s="16"/>
      <c r="F2705" s="98">
        <f t="shared" si="228"/>
        <v>14657</v>
      </c>
      <c r="G2705" s="16"/>
      <c r="H2705" s="7">
        <v>107</v>
      </c>
      <c r="I2705" s="7">
        <v>113.6</v>
      </c>
      <c r="J2705" s="7">
        <v>93.85</v>
      </c>
      <c r="K2705" s="7">
        <v>92.5</v>
      </c>
      <c r="M2705" s="7">
        <v>113.6</v>
      </c>
      <c r="N2705" s="7">
        <v>88.95</v>
      </c>
      <c r="O2705" s="70"/>
      <c r="P2705" s="17"/>
      <c r="Q2705" s="7">
        <f>(U2705*T2705)-(R2705*S2705)</f>
        <v>0</v>
      </c>
      <c r="R2705" s="109"/>
      <c r="S2705" s="18"/>
      <c r="T2705" s="18"/>
      <c r="U2705" s="109">
        <f>R2705</f>
        <v>0</v>
      </c>
      <c r="V2705" s="17"/>
      <c r="W2705" s="66">
        <v>0.54097222222222219</v>
      </c>
      <c r="X2705" s="7">
        <v>45.55</v>
      </c>
      <c r="Y2705" s="7">
        <v>91.4</v>
      </c>
      <c r="Z2705" s="66">
        <v>0.54097222222222219</v>
      </c>
    </row>
    <row r="2706" spans="2:26" x14ac:dyDescent="0.3">
      <c r="B2706" s="99">
        <f>B2705-50</f>
        <v>14700</v>
      </c>
      <c r="C2706" s="51">
        <v>85.05</v>
      </c>
      <c r="D2706" s="7">
        <v>78.650000000000006</v>
      </c>
      <c r="E2706" s="16"/>
      <c r="F2706" s="7">
        <f t="shared" si="228"/>
        <v>14621.35</v>
      </c>
      <c r="G2706" s="16"/>
      <c r="H2706" s="7">
        <v>90.3</v>
      </c>
      <c r="I2706" s="7">
        <v>94.8</v>
      </c>
      <c r="J2706" s="7">
        <v>77.45</v>
      </c>
      <c r="K2706" s="7">
        <v>76.349999999999994</v>
      </c>
      <c r="M2706" s="7">
        <v>94.8</v>
      </c>
      <c r="N2706" s="7">
        <v>73.8</v>
      </c>
      <c r="O2706" s="70"/>
      <c r="P2706" s="17"/>
      <c r="Q2706" s="7">
        <f>SUM(Q2702:Q2705)</f>
        <v>-1980</v>
      </c>
      <c r="R2706" s="7">
        <f>SUM(R2702:R2705)</f>
        <v>150</v>
      </c>
      <c r="S2706" s="109">
        <f>R2706-U2706</f>
        <v>0</v>
      </c>
      <c r="T2706" s="114" t="e">
        <f>Q2706/S2706</f>
        <v>#DIV/0!</v>
      </c>
      <c r="U2706" s="7">
        <f>SUM(U2702:U2705)</f>
        <v>150</v>
      </c>
      <c r="V2706" s="17"/>
      <c r="W2706" s="66">
        <v>6.1805555555555558E-2</v>
      </c>
      <c r="X2706" s="7">
        <v>41.8</v>
      </c>
      <c r="Y2706" s="7">
        <v>93.25</v>
      </c>
      <c r="Z2706" s="66">
        <v>6.1805555555555558E-2</v>
      </c>
    </row>
    <row r="2707" spans="2:26" x14ac:dyDescent="0.3">
      <c r="B2707" s="5">
        <f>B2706-50</f>
        <v>14650</v>
      </c>
      <c r="C2707" s="7">
        <v>71.599999999999994</v>
      </c>
      <c r="D2707" s="7">
        <v>66.25</v>
      </c>
      <c r="E2707" s="16"/>
      <c r="F2707" s="7">
        <f t="shared" si="228"/>
        <v>14583.75</v>
      </c>
      <c r="G2707">
        <v>67.55</v>
      </c>
      <c r="H2707" s="7">
        <v>75.25</v>
      </c>
      <c r="I2707" s="7">
        <v>79.099999999999994</v>
      </c>
      <c r="J2707" s="7">
        <v>63.9</v>
      </c>
      <c r="K2707" s="7">
        <v>62.65</v>
      </c>
      <c r="M2707" s="7">
        <v>79.099999999999994</v>
      </c>
      <c r="N2707" s="7">
        <v>60.55</v>
      </c>
      <c r="O2707" s="70"/>
      <c r="W2707" s="66">
        <v>8.2638888888888887E-2</v>
      </c>
      <c r="X2707" s="7">
        <v>51.35</v>
      </c>
      <c r="Y2707" s="7">
        <v>78.8</v>
      </c>
      <c r="Z2707" s="66">
        <v>8.2638888888888887E-2</v>
      </c>
    </row>
    <row r="2708" spans="2:26" x14ac:dyDescent="0.3">
      <c r="H2708" s="7"/>
      <c r="I2708" s="7"/>
      <c r="J2708" s="7"/>
      <c r="K2708" s="7"/>
      <c r="P2708" s="98">
        <f>Q2706</f>
        <v>-1980</v>
      </c>
      <c r="Q2708" s="92" t="s">
        <v>72</v>
      </c>
      <c r="R2708" s="17"/>
      <c r="T2708" s="92" t="s">
        <v>73</v>
      </c>
      <c r="U2708" s="7">
        <f>((X2700+Y2700)-(X2708+Y2708))</f>
        <v>-4</v>
      </c>
      <c r="V2708" s="98">
        <f>U2708*150</f>
        <v>-600</v>
      </c>
      <c r="W2708" s="66">
        <v>5.1388888888888894E-2</v>
      </c>
      <c r="X2708" s="7">
        <v>57.15</v>
      </c>
      <c r="Y2708" s="23">
        <v>90.3</v>
      </c>
      <c r="Z2708" s="66">
        <v>0.4465277777777778</v>
      </c>
    </row>
    <row r="2718" spans="2:26" x14ac:dyDescent="0.3">
      <c r="B2718" s="40"/>
      <c r="C2718" s="50">
        <f>AVERAGE(B2719,D2718)</f>
        <v>14983.1</v>
      </c>
      <c r="D2718" s="51">
        <f>B2719+E2719</f>
        <v>15023.1</v>
      </c>
      <c r="E2718" s="50">
        <f>AVERAGE(D2718,F2718)</f>
        <v>15063.1</v>
      </c>
      <c r="F2718" s="50">
        <f>D2718+E2719</f>
        <v>15103.1</v>
      </c>
      <c r="G2718" s="17"/>
      <c r="H2718" s="88" t="str">
        <f>IF((C2727-D2727)&gt;(C2738-D2738),"LONG",IF(C2738&gt;D2736,"LONG","SHORT"))</f>
        <v>SHORT</v>
      </c>
      <c r="I2718" s="104">
        <v>14939</v>
      </c>
      <c r="J2718" s="120" t="s">
        <v>122</v>
      </c>
      <c r="K2718" s="106">
        <v>14993</v>
      </c>
      <c r="L2718" s="17"/>
      <c r="N2718" s="17"/>
      <c r="O2718" s="17"/>
      <c r="U2718" s="17"/>
      <c r="V2718" s="17"/>
    </row>
    <row r="2719" spans="2:26" x14ac:dyDescent="0.3">
      <c r="B2719" s="50">
        <v>14943.1</v>
      </c>
      <c r="C2719" s="40"/>
      <c r="D2719" s="58"/>
      <c r="E2719" s="59">
        <f>ROUND((((B2719*F2719%)/4)/10),0)*10</f>
        <v>80</v>
      </c>
      <c r="F2719" s="51">
        <f>(100/B2719)*(F2728-F2739)</f>
        <v>2.0320415442578823</v>
      </c>
      <c r="G2719" s="17"/>
      <c r="H2719" s="93"/>
      <c r="I2719" s="93"/>
      <c r="J2719" s="93"/>
      <c r="K2719" s="93"/>
      <c r="M2719" s="50">
        <v>18500</v>
      </c>
      <c r="N2719" s="17"/>
      <c r="O2719" s="17"/>
      <c r="U2719" s="17"/>
      <c r="V2719" s="17"/>
      <c r="W2719" s="90" t="s">
        <v>68</v>
      </c>
      <c r="X2719" s="119" t="s">
        <v>69</v>
      </c>
      <c r="Y2719" s="92" t="s">
        <v>70</v>
      </c>
      <c r="Z2719" s="90" t="s">
        <v>68</v>
      </c>
    </row>
    <row r="2720" spans="2:26" x14ac:dyDescent="0.3">
      <c r="B2720" s="40"/>
      <c r="C2720" s="50">
        <f>AVERAGE(B2719,D2720)</f>
        <v>14903.1</v>
      </c>
      <c r="D2720" s="51">
        <f>B2719-E2719</f>
        <v>14863.1</v>
      </c>
      <c r="E2720" s="50">
        <f>AVERAGE(D2720,F2720)</f>
        <v>14823.1</v>
      </c>
      <c r="F2720" s="50">
        <f>D2720-E2719</f>
        <v>14783.1</v>
      </c>
      <c r="G2720" s="17"/>
      <c r="H2720" s="51">
        <v>14986.25</v>
      </c>
      <c r="I2720" s="51">
        <v>14957.05</v>
      </c>
      <c r="J2720" s="51">
        <v>14960.2</v>
      </c>
      <c r="K2720" s="51">
        <v>14944</v>
      </c>
      <c r="L2720" s="17"/>
      <c r="N2720" s="17"/>
      <c r="O2720" s="17"/>
      <c r="Q2720" s="17"/>
      <c r="R2720" s="17"/>
      <c r="S2720" s="17"/>
      <c r="T2720" s="16"/>
      <c r="U2720" s="17"/>
      <c r="V2720" s="17"/>
      <c r="W2720" s="66">
        <v>0.41597222222222219</v>
      </c>
      <c r="X2720" s="7">
        <v>103.05</v>
      </c>
      <c r="Y2720" s="7">
        <v>125.25</v>
      </c>
      <c r="Z2720" s="66">
        <v>0.41597222222222219</v>
      </c>
    </row>
    <row r="2721" spans="2:26" x14ac:dyDescent="0.3">
      <c r="B2721" s="17"/>
      <c r="C2721" s="17"/>
      <c r="D2721" s="17"/>
      <c r="E2721" s="17"/>
      <c r="F2721" s="16"/>
      <c r="G2721" s="16"/>
      <c r="H2721" s="17"/>
      <c r="I2721" s="17"/>
      <c r="J2721" s="17"/>
      <c r="K2721" s="16"/>
      <c r="L2721" s="17"/>
      <c r="M2721" s="17"/>
      <c r="N2721" s="17"/>
      <c r="O2721" s="17"/>
      <c r="Q2721" s="17"/>
      <c r="R2721" s="17"/>
      <c r="S2721" s="17"/>
      <c r="T2721" s="17"/>
      <c r="U2721" s="17"/>
      <c r="V2721" s="17"/>
      <c r="W2721" s="66">
        <v>0.4368055555555555</v>
      </c>
      <c r="X2721" s="7">
        <v>113.05</v>
      </c>
      <c r="Y2721" s="7">
        <v>108.4</v>
      </c>
      <c r="Z2721" s="66">
        <v>0.4368055555555555</v>
      </c>
    </row>
    <row r="2722" spans="2:26" x14ac:dyDescent="0.3">
      <c r="B2722" s="16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Q2722" s="17"/>
      <c r="R2722" s="17"/>
      <c r="S2722" s="17"/>
      <c r="T2722" s="17"/>
      <c r="U2722" s="17"/>
      <c r="V2722" s="17"/>
      <c r="W2722" s="66">
        <v>0.45763888888888887</v>
      </c>
      <c r="X2722" s="7">
        <v>112.9</v>
      </c>
      <c r="Y2722" s="7">
        <v>106.3</v>
      </c>
      <c r="Z2722" s="66">
        <v>0.45763888888888887</v>
      </c>
    </row>
    <row r="2723" spans="2:26" x14ac:dyDescent="0.3">
      <c r="B2723" s="16"/>
      <c r="C2723" s="95">
        <v>44326</v>
      </c>
      <c r="D2723" s="17"/>
      <c r="E2723" s="17"/>
      <c r="F2723" s="7">
        <f>AVERAGE(F2725,F2736)</f>
        <v>14937.125</v>
      </c>
      <c r="G2723" s="96"/>
      <c r="H2723" s="66"/>
      <c r="I2723" s="66"/>
      <c r="J2723" s="66"/>
      <c r="K2723" s="66"/>
      <c r="M2723" s="66">
        <v>0.44027777777777777</v>
      </c>
      <c r="N2723" s="66"/>
      <c r="O2723" s="68"/>
      <c r="Q2723" s="17"/>
      <c r="R2723" s="17"/>
      <c r="S2723" s="17"/>
      <c r="T2723" s="17"/>
      <c r="U2723" s="17"/>
      <c r="V2723" s="17"/>
      <c r="W2723" s="66">
        <v>0.47847222222222219</v>
      </c>
      <c r="X2723" s="7">
        <v>123.4</v>
      </c>
      <c r="Y2723" s="7">
        <v>98.8</v>
      </c>
      <c r="Z2723" s="66">
        <v>0.47847222222222219</v>
      </c>
    </row>
    <row r="2724" spans="2:26" x14ac:dyDescent="0.3">
      <c r="B2724" s="90" t="s">
        <v>68</v>
      </c>
      <c r="C2724" s="66"/>
      <c r="D2724" s="66"/>
      <c r="E2724" s="17"/>
      <c r="F2724" s="17"/>
      <c r="G2724" s="17"/>
      <c r="H2724" s="23">
        <v>59.6</v>
      </c>
      <c r="I2724" s="7"/>
      <c r="J2724" s="7"/>
      <c r="K2724" s="7"/>
      <c r="M2724" s="7">
        <v>14981.2</v>
      </c>
      <c r="N2724" s="23">
        <v>25.15</v>
      </c>
      <c r="O2724" s="162"/>
      <c r="U2724" s="17"/>
      <c r="V2724" s="17"/>
      <c r="W2724" s="66">
        <v>0.4993055555555555</v>
      </c>
      <c r="X2724" s="7">
        <v>120.2</v>
      </c>
      <c r="Y2724" s="7">
        <v>99.7</v>
      </c>
      <c r="Z2724" s="66">
        <v>0.4993055555555555</v>
      </c>
    </row>
    <row r="2725" spans="2:26" x14ac:dyDescent="0.3">
      <c r="B2725" s="5">
        <f>B2726-50</f>
        <v>14900</v>
      </c>
      <c r="C2725" s="7">
        <v>103.05</v>
      </c>
      <c r="D2725" s="7">
        <v>103.05</v>
      </c>
      <c r="E2725" s="16"/>
      <c r="F2725" s="7">
        <f t="shared" ref="F2725:F2730" si="229">B2725+D2725</f>
        <v>15003.05</v>
      </c>
      <c r="G2725" s="17"/>
      <c r="H2725" s="7"/>
      <c r="I2725" s="7"/>
      <c r="J2725" s="7"/>
      <c r="K2725" s="7"/>
      <c r="M2725" s="7">
        <v>118.7</v>
      </c>
      <c r="N2725" s="7"/>
      <c r="O2725" s="70"/>
      <c r="Q2725" s="150" t="s">
        <v>129</v>
      </c>
      <c r="R2725" s="151"/>
      <c r="S2725" s="151"/>
      <c r="T2725" s="151"/>
      <c r="V2725" s="17"/>
      <c r="W2725" s="66">
        <v>0.52013888888888882</v>
      </c>
      <c r="X2725" s="7">
        <v>123.8</v>
      </c>
      <c r="Y2725" s="7">
        <v>96.65</v>
      </c>
      <c r="Z2725" s="66">
        <v>0.52013888888888882</v>
      </c>
    </row>
    <row r="2726" spans="2:26" x14ac:dyDescent="0.3">
      <c r="B2726" s="5">
        <f>B2727-50</f>
        <v>14950</v>
      </c>
      <c r="C2726" s="7">
        <v>77.55</v>
      </c>
      <c r="D2726" s="7">
        <v>77.55</v>
      </c>
      <c r="E2726" s="16"/>
      <c r="F2726" s="7">
        <f t="shared" si="229"/>
        <v>15027.55</v>
      </c>
      <c r="G2726" s="17"/>
      <c r="H2726" s="7"/>
      <c r="I2726" s="7"/>
      <c r="J2726" s="7"/>
      <c r="K2726" s="7"/>
      <c r="M2726" s="7">
        <v>89.9</v>
      </c>
      <c r="N2726" s="7"/>
      <c r="O2726" s="70"/>
      <c r="P2726" s="17"/>
      <c r="Q2726" s="159">
        <v>44320</v>
      </c>
      <c r="R2726" s="161">
        <v>14538.25</v>
      </c>
      <c r="S2726" s="161">
        <v>14693.9</v>
      </c>
      <c r="T2726" s="159">
        <v>44321</v>
      </c>
      <c r="V2726" s="17"/>
      <c r="W2726" s="66">
        <v>0.54097222222222219</v>
      </c>
      <c r="X2726" s="7">
        <v>132.15</v>
      </c>
      <c r="Y2726" s="7">
        <v>90.25</v>
      </c>
      <c r="Z2726" s="66">
        <v>0.54097222222222219</v>
      </c>
    </row>
    <row r="2727" spans="2:26" x14ac:dyDescent="0.3">
      <c r="B2727" s="97">
        <v>15000</v>
      </c>
      <c r="C2727" s="7">
        <v>56.1</v>
      </c>
      <c r="D2727" s="7">
        <v>56.1</v>
      </c>
      <c r="E2727" s="16"/>
      <c r="F2727" s="7">
        <f t="shared" si="229"/>
        <v>15056.1</v>
      </c>
      <c r="G2727" s="17"/>
      <c r="H2727" s="7"/>
      <c r="I2727" s="7"/>
      <c r="J2727" s="7"/>
      <c r="K2727" s="7"/>
      <c r="M2727" s="7">
        <v>65.3</v>
      </c>
      <c r="N2727" s="7"/>
      <c r="O2727" s="70"/>
      <c r="P2727" s="17"/>
      <c r="Q2727" s="159">
        <v>44321</v>
      </c>
      <c r="R2727" s="161">
        <v>14573.9</v>
      </c>
      <c r="S2727" s="161">
        <v>14734</v>
      </c>
      <c r="T2727" s="159">
        <v>44319</v>
      </c>
      <c r="V2727" s="17"/>
      <c r="W2727" s="66">
        <v>6.1805555555555558E-2</v>
      </c>
      <c r="X2727" s="7">
        <v>115.35</v>
      </c>
      <c r="Y2727" s="7">
        <v>97.6</v>
      </c>
      <c r="Z2727" s="66">
        <v>6.1805555555555558E-2</v>
      </c>
    </row>
    <row r="2728" spans="2:26" x14ac:dyDescent="0.3">
      <c r="B2728" s="5">
        <f>B2727+50</f>
        <v>15050</v>
      </c>
      <c r="C2728" s="51">
        <v>38.35</v>
      </c>
      <c r="D2728" s="23">
        <v>38.35</v>
      </c>
      <c r="E2728" s="16"/>
      <c r="F2728" s="98">
        <f t="shared" si="229"/>
        <v>15088.35</v>
      </c>
      <c r="G2728" s="17">
        <v>28.9</v>
      </c>
      <c r="H2728" s="7"/>
      <c r="I2728" s="7" t="s">
        <v>133</v>
      </c>
      <c r="J2728" s="7" t="s">
        <v>134</v>
      </c>
      <c r="K2728" s="7"/>
      <c r="M2728" s="7">
        <v>44.65</v>
      </c>
      <c r="N2728" s="7"/>
      <c r="O2728" s="70"/>
      <c r="P2728" s="17"/>
      <c r="Q2728" s="159">
        <v>44319</v>
      </c>
      <c r="R2728" s="161">
        <v>14584</v>
      </c>
      <c r="S2728" s="161">
        <v>14738.25</v>
      </c>
      <c r="T2728" s="159">
        <v>44320</v>
      </c>
      <c r="V2728" s="17"/>
      <c r="W2728" s="66">
        <v>8.2638888888888887E-2</v>
      </c>
      <c r="X2728" s="7">
        <v>128</v>
      </c>
      <c r="Y2728" s="7">
        <v>86.4</v>
      </c>
      <c r="Z2728" s="66">
        <v>8.2638888888888887E-2</v>
      </c>
    </row>
    <row r="2729" spans="2:26" x14ac:dyDescent="0.3">
      <c r="B2729" s="99">
        <f>B2728+50</f>
        <v>15100</v>
      </c>
      <c r="C2729" s="7">
        <v>25.15</v>
      </c>
      <c r="D2729" s="7">
        <v>25.15</v>
      </c>
      <c r="E2729" s="16"/>
      <c r="F2729" s="7">
        <f t="shared" si="229"/>
        <v>15125.15</v>
      </c>
      <c r="G2729" s="17"/>
      <c r="H2729" s="7"/>
      <c r="I2729" s="7"/>
      <c r="J2729" s="7"/>
      <c r="K2729" s="7"/>
      <c r="M2729" s="7">
        <v>29.15</v>
      </c>
      <c r="N2729" s="7"/>
      <c r="O2729" s="70"/>
      <c r="P2729" s="17"/>
      <c r="Q2729" s="159">
        <v>44322</v>
      </c>
      <c r="R2729" s="161">
        <v>14657.2</v>
      </c>
      <c r="S2729" s="161">
        <v>14767.2</v>
      </c>
      <c r="T2729" s="159">
        <v>44322</v>
      </c>
      <c r="V2729" s="17"/>
    </row>
    <row r="2730" spans="2:26" x14ac:dyDescent="0.3">
      <c r="B2730" s="5">
        <f>B2729+50</f>
        <v>15150</v>
      </c>
      <c r="C2730" s="7">
        <v>15.7</v>
      </c>
      <c r="D2730" s="7">
        <v>15.7</v>
      </c>
      <c r="E2730" s="16">
        <f>E2731-(F2731-E2731)</f>
        <v>21.225000000000023</v>
      </c>
      <c r="F2730" s="7">
        <f t="shared" si="229"/>
        <v>15165.7</v>
      </c>
      <c r="G2730" s="16"/>
      <c r="H2730" s="7"/>
      <c r="I2730" s="7"/>
      <c r="J2730" s="7"/>
      <c r="K2730" s="7"/>
      <c r="M2730" s="7">
        <v>17.8</v>
      </c>
      <c r="N2730" s="7"/>
      <c r="O2730" s="70"/>
      <c r="P2730" s="17"/>
      <c r="Q2730" s="159">
        <v>44323</v>
      </c>
      <c r="R2730" s="161">
        <v>14825.85</v>
      </c>
      <c r="S2730" s="161">
        <v>14875.85</v>
      </c>
      <c r="T2730" s="159">
        <v>44323</v>
      </c>
      <c r="V2730" s="17"/>
    </row>
    <row r="2731" spans="2:26" x14ac:dyDescent="0.3">
      <c r="B2731" s="17"/>
      <c r="C2731" s="17"/>
      <c r="D2731" s="16"/>
      <c r="E2731" s="16">
        <f>F2731-(G2731-F2731)</f>
        <v>40.425000000000011</v>
      </c>
      <c r="F2731" s="16">
        <f>AVERAGE(C2727,C2740)</f>
        <v>59.625</v>
      </c>
      <c r="G2731" s="16">
        <f>AVERAGE(C2726,C2739)</f>
        <v>78.824999999999989</v>
      </c>
      <c r="H2731" s="7"/>
      <c r="I2731" s="7"/>
      <c r="J2731" s="7"/>
      <c r="K2731" s="7"/>
      <c r="P2731" s="17"/>
      <c r="V2731" s="16"/>
    </row>
    <row r="2732" spans="2:26" x14ac:dyDescent="0.3">
      <c r="B2732" s="17"/>
      <c r="C2732" s="17"/>
      <c r="D2732" s="16"/>
      <c r="E2732" s="16"/>
      <c r="F2732" s="16"/>
      <c r="G2732" s="16"/>
      <c r="P2732" s="17"/>
      <c r="Q2732" s="17"/>
      <c r="R2732" s="17"/>
      <c r="S2732" s="17"/>
      <c r="T2732" s="17"/>
      <c r="U2732" s="16"/>
      <c r="V2732" s="16"/>
      <c r="W2732" s="90" t="s">
        <v>68</v>
      </c>
      <c r="X2732" s="119" t="s">
        <v>69</v>
      </c>
      <c r="Y2732" s="92" t="s">
        <v>70</v>
      </c>
      <c r="Z2732" s="90" t="s">
        <v>68</v>
      </c>
    </row>
    <row r="2733" spans="2:26" x14ac:dyDescent="0.3">
      <c r="B2733" s="17"/>
      <c r="C2733" s="17"/>
      <c r="D2733" s="16"/>
      <c r="E2733" s="16"/>
      <c r="F2733" s="16"/>
      <c r="G2733" s="16"/>
      <c r="H2733" s="101"/>
      <c r="I2733" s="101"/>
      <c r="J2733" s="101"/>
      <c r="K2733" s="101"/>
      <c r="M2733" s="101"/>
      <c r="N2733" s="101"/>
      <c r="O2733" s="101"/>
      <c r="P2733" s="17"/>
      <c r="Q2733" s="17"/>
      <c r="R2733" s="17"/>
      <c r="S2733" s="17"/>
      <c r="T2733" s="17"/>
      <c r="U2733" s="16"/>
      <c r="V2733" s="16"/>
      <c r="W2733" s="66">
        <v>0.41597222222222219</v>
      </c>
      <c r="X2733" s="7">
        <v>38.35</v>
      </c>
      <c r="Y2733" s="7">
        <v>63.15</v>
      </c>
      <c r="Z2733" s="66">
        <v>0.41597222222222219</v>
      </c>
    </row>
    <row r="2734" spans="2:26" x14ac:dyDescent="0.3">
      <c r="B2734" s="16"/>
      <c r="C2734" s="95">
        <v>44298</v>
      </c>
      <c r="D2734" s="17"/>
      <c r="F2734" s="16"/>
      <c r="H2734" s="66"/>
      <c r="I2734" s="66"/>
      <c r="J2734" s="66"/>
      <c r="K2734" s="66"/>
      <c r="M2734" s="66">
        <v>0.44027777777777777</v>
      </c>
      <c r="N2734" s="66"/>
      <c r="O2734" s="68"/>
      <c r="P2734" s="17"/>
      <c r="Q2734" s="150" t="s">
        <v>72</v>
      </c>
      <c r="R2734" s="151"/>
      <c r="S2734" s="151"/>
      <c r="T2734" s="151"/>
      <c r="U2734" s="152"/>
      <c r="V2734" s="17"/>
      <c r="W2734" s="66">
        <v>0.4368055555555555</v>
      </c>
      <c r="X2734" s="7">
        <v>42.5</v>
      </c>
      <c r="Y2734" s="7">
        <v>53.15</v>
      </c>
      <c r="Z2734" s="66">
        <v>0.4368055555555555</v>
      </c>
    </row>
    <row r="2735" spans="2:26" x14ac:dyDescent="0.3">
      <c r="B2735" s="90" t="s">
        <v>68</v>
      </c>
      <c r="C2735" s="66"/>
      <c r="D2735" s="66"/>
      <c r="E2735" s="16">
        <f>F2735-(G2735-F2735)</f>
        <v>47.074999999999989</v>
      </c>
      <c r="F2735" s="16">
        <f>AVERAGE(C2739,C2727)</f>
        <v>68.099999999999994</v>
      </c>
      <c r="G2735" s="16">
        <f>AVERAGE(C2738,C2726)</f>
        <v>89.125</v>
      </c>
      <c r="H2735" s="23">
        <v>68.099999999999994</v>
      </c>
      <c r="I2735" s="7"/>
      <c r="J2735" s="7"/>
      <c r="K2735" s="7"/>
      <c r="M2735" s="23">
        <v>49.45</v>
      </c>
      <c r="N2735" s="7"/>
      <c r="O2735" s="70"/>
      <c r="P2735" s="17"/>
      <c r="Q2735" s="34"/>
      <c r="R2735" s="34" t="s">
        <v>111</v>
      </c>
      <c r="S2735" s="34" t="s">
        <v>2</v>
      </c>
      <c r="T2735" s="34" t="s">
        <v>1</v>
      </c>
      <c r="U2735" s="34" t="s">
        <v>111</v>
      </c>
      <c r="V2735" s="17"/>
      <c r="W2735" s="66">
        <v>0.45763888888888887</v>
      </c>
      <c r="X2735" s="7">
        <v>41.85</v>
      </c>
      <c r="Y2735" s="7">
        <v>51.1</v>
      </c>
      <c r="Z2735" s="66">
        <v>0.45763888888888887</v>
      </c>
    </row>
    <row r="2736" spans="2:26" x14ac:dyDescent="0.3">
      <c r="B2736" s="5">
        <f>B2737+50</f>
        <v>15000</v>
      </c>
      <c r="C2736" s="7">
        <v>153.44999999999999</v>
      </c>
      <c r="D2736" s="7">
        <v>128.80000000000001</v>
      </c>
      <c r="E2736" s="16">
        <f>E2735-(F2735-E2735)</f>
        <v>26.049999999999983</v>
      </c>
      <c r="F2736" s="7">
        <f t="shared" ref="F2736:F2741" si="230">B2736-D2736</f>
        <v>14871.2</v>
      </c>
      <c r="G2736" s="16"/>
      <c r="H2736" s="7"/>
      <c r="I2736" s="7"/>
      <c r="J2736" s="7"/>
      <c r="K2736" s="7"/>
      <c r="M2736" s="7">
        <v>127.85</v>
      </c>
      <c r="N2736" s="7"/>
      <c r="O2736" s="70"/>
      <c r="P2736" s="17"/>
      <c r="Q2736" s="7">
        <f>(U2736*T2736)-(R2736*S2736)</f>
        <v>0</v>
      </c>
      <c r="R2736" s="109"/>
      <c r="S2736" s="7"/>
      <c r="T2736" s="18"/>
      <c r="U2736" s="109">
        <f>R2736</f>
        <v>0</v>
      </c>
      <c r="V2736" s="16"/>
      <c r="W2736" s="66">
        <v>0.47847222222222219</v>
      </c>
      <c r="X2736" s="7">
        <v>48</v>
      </c>
      <c r="Y2736" s="7">
        <v>46.6</v>
      </c>
      <c r="Z2736" s="66">
        <v>0.47847222222222219</v>
      </c>
    </row>
    <row r="2737" spans="2:26" x14ac:dyDescent="0.3">
      <c r="B2737" s="5">
        <f>B2738+50</f>
        <v>14950</v>
      </c>
      <c r="C2737" s="7">
        <v>125.25</v>
      </c>
      <c r="D2737" s="7">
        <v>103.2</v>
      </c>
      <c r="E2737" s="16"/>
      <c r="F2737" s="7">
        <f t="shared" si="230"/>
        <v>14846.8</v>
      </c>
      <c r="G2737" s="17"/>
      <c r="H2737" s="7"/>
      <c r="I2737" s="7"/>
      <c r="J2737" s="7"/>
      <c r="K2737" s="7"/>
      <c r="M2737" s="7">
        <v>102.4</v>
      </c>
      <c r="N2737" s="7"/>
      <c r="O2737" s="70"/>
      <c r="P2737" s="17"/>
      <c r="Q2737" s="7">
        <f>(U2737*T2737)-(R2737*S2737)</f>
        <v>0</v>
      </c>
      <c r="R2737" s="109"/>
      <c r="S2737" s="7"/>
      <c r="T2737" s="18"/>
      <c r="U2737" s="109">
        <f>R2737</f>
        <v>0</v>
      </c>
      <c r="V2737" s="16"/>
      <c r="W2737" s="66">
        <v>0.4993055555555555</v>
      </c>
      <c r="X2737" s="7">
        <v>46</v>
      </c>
      <c r="Y2737" s="7">
        <v>47.4</v>
      </c>
      <c r="Z2737" s="66">
        <v>0.4993055555555555</v>
      </c>
    </row>
    <row r="2738" spans="2:26" x14ac:dyDescent="0.3">
      <c r="B2738" s="97">
        <v>14900</v>
      </c>
      <c r="C2738" s="7">
        <v>100.7</v>
      </c>
      <c r="D2738" s="7">
        <v>82.9</v>
      </c>
      <c r="E2738" s="16"/>
      <c r="F2738" s="7">
        <f t="shared" si="230"/>
        <v>14817.1</v>
      </c>
      <c r="G2738" s="17"/>
      <c r="H2738" s="7"/>
      <c r="I2738" s="7"/>
      <c r="J2738" s="7"/>
      <c r="K2738" s="7"/>
      <c r="M2738" s="7">
        <v>81.3</v>
      </c>
      <c r="N2738" s="7"/>
      <c r="O2738" s="70"/>
      <c r="P2738" s="17"/>
      <c r="Q2738" s="7">
        <f>(U2738*T2738)-(R2738*S2738)</f>
        <v>0</v>
      </c>
      <c r="R2738" s="109"/>
      <c r="S2738" s="18"/>
      <c r="T2738" s="18"/>
      <c r="U2738" s="109">
        <f>R2738</f>
        <v>0</v>
      </c>
      <c r="V2738" s="17"/>
      <c r="W2738" s="66">
        <v>0.52013888888888882</v>
      </c>
      <c r="X2738" s="7">
        <v>48</v>
      </c>
      <c r="Y2738" s="7">
        <v>45.9</v>
      </c>
      <c r="Z2738" s="66">
        <v>0.52013888888888882</v>
      </c>
    </row>
    <row r="2739" spans="2:26" x14ac:dyDescent="0.3">
      <c r="B2739" s="14">
        <f>B2738-50</f>
        <v>14850</v>
      </c>
      <c r="C2739" s="7">
        <v>80.099999999999994</v>
      </c>
      <c r="D2739" s="7">
        <v>65.3</v>
      </c>
      <c r="E2739" s="16"/>
      <c r="F2739" s="98">
        <f t="shared" si="230"/>
        <v>14784.7</v>
      </c>
      <c r="G2739" s="17"/>
      <c r="H2739" s="7"/>
      <c r="I2739" s="7" t="s">
        <v>133</v>
      </c>
      <c r="J2739" s="7" t="s">
        <v>134</v>
      </c>
      <c r="K2739" s="7"/>
      <c r="M2739" s="7">
        <v>64.05</v>
      </c>
      <c r="N2739" s="7"/>
      <c r="O2739" s="70"/>
      <c r="P2739" s="17"/>
      <c r="Q2739" s="7">
        <f>(U2739*T2739)-(R2739*S2739)</f>
        <v>0</v>
      </c>
      <c r="R2739" s="109"/>
      <c r="S2739" s="18"/>
      <c r="T2739" s="18"/>
      <c r="U2739" s="109">
        <f>R2739</f>
        <v>0</v>
      </c>
      <c r="V2739" s="17"/>
      <c r="W2739" s="66">
        <v>0.54097222222222219</v>
      </c>
      <c r="X2739" s="7">
        <v>53.4</v>
      </c>
      <c r="Y2739" s="7">
        <v>41.9</v>
      </c>
      <c r="Z2739" s="66">
        <v>0.54097222222222219</v>
      </c>
    </row>
    <row r="2740" spans="2:26" x14ac:dyDescent="0.3">
      <c r="B2740" s="99">
        <f>B2739-50</f>
        <v>14800</v>
      </c>
      <c r="C2740" s="51">
        <v>63.15</v>
      </c>
      <c r="D2740" s="7">
        <v>50.95</v>
      </c>
      <c r="E2740" s="16"/>
      <c r="F2740" s="7">
        <f t="shared" si="230"/>
        <v>14749.05</v>
      </c>
      <c r="G2740" s="17"/>
      <c r="H2740" s="7"/>
      <c r="I2740" s="7"/>
      <c r="J2740" s="7"/>
      <c r="K2740" s="7"/>
      <c r="M2740" s="7">
        <v>50.1</v>
      </c>
      <c r="N2740" s="7"/>
      <c r="O2740" s="70"/>
      <c r="P2740" s="17"/>
      <c r="Q2740" s="7">
        <f>SUM(Q2736:Q2739)</f>
        <v>0</v>
      </c>
      <c r="R2740" s="7">
        <f>SUM(R2736:R2739)</f>
        <v>0</v>
      </c>
      <c r="S2740" s="109">
        <f>R2740-U2740</f>
        <v>0</v>
      </c>
      <c r="T2740" s="114" t="e">
        <f>Q2740/S2740</f>
        <v>#DIV/0!</v>
      </c>
      <c r="U2740" s="7">
        <f>SUM(U2736:U2739)</f>
        <v>0</v>
      </c>
      <c r="V2740" s="17"/>
      <c r="W2740" s="66">
        <v>6.1805555555555558E-2</v>
      </c>
      <c r="X2740" s="7">
        <v>42.6</v>
      </c>
      <c r="Y2740" s="7">
        <v>45.45</v>
      </c>
      <c r="Z2740" s="66">
        <v>6.1805555555555558E-2</v>
      </c>
    </row>
    <row r="2741" spans="2:26" x14ac:dyDescent="0.3">
      <c r="B2741" s="5">
        <f>B2740-50</f>
        <v>14750</v>
      </c>
      <c r="C2741" s="7">
        <v>49.45</v>
      </c>
      <c r="D2741" s="7">
        <v>39.15</v>
      </c>
      <c r="E2741" s="16"/>
      <c r="F2741" s="7">
        <f t="shared" si="230"/>
        <v>14710.85</v>
      </c>
      <c r="G2741" s="17"/>
      <c r="H2741" s="7"/>
      <c r="I2741" s="7"/>
      <c r="J2741" s="7"/>
      <c r="K2741" s="7"/>
      <c r="M2741" s="7">
        <v>38.65</v>
      </c>
      <c r="N2741" s="7"/>
      <c r="O2741" s="70"/>
      <c r="W2741" s="66">
        <v>8.2638888888888887E-2</v>
      </c>
      <c r="X2741" s="7">
        <v>49.1</v>
      </c>
      <c r="Y2741" s="7">
        <v>39.4</v>
      </c>
      <c r="Z2741" s="66">
        <v>8.2638888888888887E-2</v>
      </c>
    </row>
    <row r="2742" spans="2:26" x14ac:dyDescent="0.3">
      <c r="H2742" s="7"/>
      <c r="I2742" s="7"/>
      <c r="J2742" s="7"/>
      <c r="K2742" s="7"/>
      <c r="P2742" s="98">
        <f>Q2740</f>
        <v>0</v>
      </c>
      <c r="Q2742" s="92" t="s">
        <v>72</v>
      </c>
      <c r="R2742" s="17"/>
      <c r="T2742" s="92" t="s">
        <v>73</v>
      </c>
      <c r="U2742" s="7">
        <f>((X2734+Y2734)-(X2742+Y2742))</f>
        <v>7.1500000000000057</v>
      </c>
      <c r="V2742" s="98">
        <f>U2742*150</f>
        <v>1072.5000000000009</v>
      </c>
      <c r="W2742" s="66">
        <v>8.2638888888888887E-2</v>
      </c>
      <c r="X2742" s="7">
        <v>49.1</v>
      </c>
      <c r="Y2742" s="7">
        <v>39.4</v>
      </c>
      <c r="Z2742" s="66">
        <v>8.2638888888888887E-2</v>
      </c>
    </row>
    <row r="2752" spans="2:26" x14ac:dyDescent="0.3">
      <c r="B2752" s="40"/>
      <c r="C2752" s="50">
        <f>AVERAGE(B2753,D2752)</f>
        <v>14903.5</v>
      </c>
      <c r="D2752" s="51">
        <f>B2753+E2753</f>
        <v>14933.5</v>
      </c>
      <c r="E2752" s="50">
        <f>AVERAGE(D2752,F2752)</f>
        <v>14963.5</v>
      </c>
      <c r="F2752" s="50">
        <f>D2752+E2753</f>
        <v>14993.5</v>
      </c>
      <c r="G2752" s="17"/>
      <c r="H2752" s="88" t="str">
        <f>IF((C2761-D2761)&gt;(C2772-D2772),"LONG",IF(C2772&gt;D2770,"LONG","SHORT"))</f>
        <v>LONG</v>
      </c>
      <c r="I2752" s="104">
        <v>14785</v>
      </c>
      <c r="J2752" s="120" t="s">
        <v>122</v>
      </c>
      <c r="K2752" s="106">
        <v>14877</v>
      </c>
      <c r="L2752" s="17"/>
      <c r="N2752" s="17"/>
      <c r="O2752" s="17"/>
      <c r="U2752" s="17"/>
      <c r="V2752" s="17"/>
    </row>
    <row r="2753" spans="2:26" x14ac:dyDescent="0.3">
      <c r="B2753" s="50">
        <v>14873.5</v>
      </c>
      <c r="C2753" s="40"/>
      <c r="D2753" s="58"/>
      <c r="E2753" s="59">
        <f>ROUND((((B2753*F2753%)/4)/10),0)*10</f>
        <v>60</v>
      </c>
      <c r="F2753" s="51">
        <f>(100/B2753)*(F2762-F2773)</f>
        <v>1.5161192725316839</v>
      </c>
      <c r="G2753" s="17"/>
      <c r="H2753" s="93">
        <v>0.39166666666666666</v>
      </c>
      <c r="I2753" s="93">
        <v>0.39861111111111108</v>
      </c>
      <c r="J2753" s="93">
        <v>0.4055555555555555</v>
      </c>
      <c r="K2753" s="93">
        <v>0.41250000000000003</v>
      </c>
      <c r="M2753" s="50">
        <v>18400</v>
      </c>
      <c r="N2753" s="17"/>
      <c r="O2753" s="17"/>
      <c r="U2753" s="17"/>
      <c r="V2753" s="17"/>
      <c r="W2753" s="90" t="s">
        <v>68</v>
      </c>
      <c r="X2753" s="119" t="s">
        <v>69</v>
      </c>
      <c r="Y2753" s="92" t="s">
        <v>70</v>
      </c>
      <c r="Z2753" s="90" t="s">
        <v>68</v>
      </c>
    </row>
    <row r="2754" spans="2:26" x14ac:dyDescent="0.3">
      <c r="B2754" s="40"/>
      <c r="C2754" s="50">
        <f>AVERAGE(B2753,D2754)</f>
        <v>14843.5</v>
      </c>
      <c r="D2754" s="51">
        <f>B2753-E2753</f>
        <v>14813.5</v>
      </c>
      <c r="E2754" s="50">
        <f>AVERAGE(D2754,F2754)</f>
        <v>14783.5</v>
      </c>
      <c r="F2754" s="50">
        <f>D2754-E2753</f>
        <v>14753.5</v>
      </c>
      <c r="G2754" s="17"/>
      <c r="H2754" s="51">
        <v>14848.8</v>
      </c>
      <c r="I2754" s="51">
        <v>14859.45</v>
      </c>
      <c r="J2754" s="51">
        <v>14854.3</v>
      </c>
      <c r="K2754" s="51">
        <v>14873</v>
      </c>
      <c r="L2754" s="17"/>
      <c r="N2754" s="17"/>
      <c r="O2754" s="17"/>
      <c r="Q2754" s="17"/>
      <c r="R2754" s="17"/>
      <c r="S2754" s="17"/>
      <c r="T2754" s="16"/>
      <c r="U2754" s="17"/>
      <c r="V2754" s="17"/>
      <c r="W2754" s="66">
        <v>0.41597222222222219</v>
      </c>
      <c r="X2754" s="7">
        <v>94.55</v>
      </c>
      <c r="Y2754" s="7">
        <v>105</v>
      </c>
      <c r="Z2754" s="66">
        <v>0.41597222222222219</v>
      </c>
    </row>
    <row r="2755" spans="2:26" x14ac:dyDescent="0.3">
      <c r="B2755" s="17"/>
      <c r="C2755" s="17"/>
      <c r="D2755" s="17"/>
      <c r="E2755" s="17"/>
      <c r="F2755" s="16"/>
      <c r="G2755" s="16"/>
      <c r="H2755" s="17"/>
      <c r="I2755" s="17"/>
      <c r="J2755" s="17"/>
      <c r="K2755" s="16"/>
      <c r="L2755" s="17"/>
      <c r="M2755" s="17"/>
      <c r="N2755" s="17"/>
      <c r="O2755" s="17"/>
      <c r="Q2755" s="17"/>
      <c r="R2755" s="17"/>
      <c r="S2755" s="17"/>
      <c r="T2755" s="17"/>
      <c r="U2755" s="17"/>
      <c r="V2755" s="17"/>
      <c r="W2755" s="66">
        <v>0.4368055555555555</v>
      </c>
      <c r="X2755" s="7">
        <v>88.75</v>
      </c>
      <c r="Y2755" s="7">
        <v>109.9</v>
      </c>
      <c r="Z2755" s="66">
        <v>0.4368055555555555</v>
      </c>
    </row>
    <row r="2756" spans="2:26" x14ac:dyDescent="0.3">
      <c r="B2756" s="16"/>
      <c r="C2756" s="17"/>
      <c r="D2756" s="17"/>
      <c r="E2756" s="17"/>
      <c r="F2756" s="17"/>
      <c r="G2756" s="17"/>
      <c r="H2756" s="17"/>
      <c r="I2756" s="16"/>
      <c r="J2756" s="17"/>
      <c r="K2756" s="17"/>
      <c r="L2756" s="17"/>
      <c r="M2756" s="17"/>
      <c r="N2756" s="17"/>
      <c r="O2756" s="17"/>
      <c r="Q2756" s="17"/>
      <c r="R2756" s="17"/>
      <c r="S2756" s="17"/>
      <c r="T2756" s="17"/>
      <c r="U2756" s="17"/>
      <c r="V2756" s="17"/>
      <c r="W2756" s="66">
        <v>0.45763888888888887</v>
      </c>
      <c r="X2756" s="7">
        <v>91.05</v>
      </c>
      <c r="Y2756" s="7">
        <v>103.8</v>
      </c>
      <c r="Z2756" s="66">
        <v>0.45763888888888887</v>
      </c>
    </row>
    <row r="2757" spans="2:26" x14ac:dyDescent="0.3">
      <c r="B2757" s="16"/>
      <c r="C2757" s="95">
        <v>44327</v>
      </c>
      <c r="D2757" s="17"/>
      <c r="E2757" s="17"/>
      <c r="F2757" s="7">
        <f>AVERAGE(F2759,F2770)</f>
        <v>14846.75</v>
      </c>
      <c r="G2757" s="96"/>
      <c r="H2757" s="66">
        <v>0.48125000000000001</v>
      </c>
      <c r="I2757" s="66">
        <v>5.9027777777777783E-2</v>
      </c>
      <c r="J2757" s="66" t="s">
        <v>127</v>
      </c>
      <c r="K2757" s="66">
        <v>0.13541666666666666</v>
      </c>
      <c r="M2757" s="66">
        <v>0.49027777777777781</v>
      </c>
      <c r="N2757" s="66"/>
      <c r="O2757" s="68"/>
      <c r="Q2757" s="17"/>
      <c r="R2757" s="17"/>
      <c r="S2757" s="17"/>
      <c r="T2757" s="17"/>
      <c r="U2757" s="17"/>
      <c r="V2757" s="17"/>
      <c r="W2757" s="66">
        <v>0.47847222222222219</v>
      </c>
      <c r="X2757" s="7">
        <v>103.5</v>
      </c>
      <c r="Y2757" s="7">
        <v>92.15</v>
      </c>
      <c r="Z2757" s="66">
        <v>0.47847222222222219</v>
      </c>
    </row>
    <row r="2758" spans="2:26" x14ac:dyDescent="0.3">
      <c r="B2758" s="90" t="s">
        <v>68</v>
      </c>
      <c r="C2758" s="66">
        <v>0.41666666666666669</v>
      </c>
      <c r="D2758" s="66">
        <v>0.38611111111111113</v>
      </c>
      <c r="E2758" s="17"/>
      <c r="F2758" s="17"/>
      <c r="G2758" s="17"/>
      <c r="H2758" s="23">
        <v>41.3</v>
      </c>
      <c r="I2758" s="7">
        <v>14836.3</v>
      </c>
      <c r="J2758" s="23">
        <v>32.200000000000003</v>
      </c>
      <c r="K2758" s="7">
        <v>14885</v>
      </c>
      <c r="M2758" s="7">
        <v>14923.55</v>
      </c>
      <c r="N2758" s="7"/>
      <c r="O2758" s="70"/>
      <c r="R2758" s="158" t="s">
        <v>128</v>
      </c>
      <c r="S2758" s="158"/>
      <c r="U2758" s="17"/>
      <c r="V2758" s="17"/>
      <c r="W2758" s="66">
        <v>0.4993055555555555</v>
      </c>
      <c r="X2758" s="7">
        <v>118.3</v>
      </c>
      <c r="Y2758" s="7">
        <v>81.45</v>
      </c>
      <c r="Z2758" s="66">
        <v>0.4993055555555555</v>
      </c>
    </row>
    <row r="2759" spans="2:26" x14ac:dyDescent="0.3">
      <c r="B2759" s="5">
        <f>B2760-50</f>
        <v>14800</v>
      </c>
      <c r="C2759" s="7">
        <v>94.55</v>
      </c>
      <c r="D2759" s="7">
        <v>80.400000000000006</v>
      </c>
      <c r="E2759" s="16"/>
      <c r="F2759" s="7">
        <f t="shared" ref="F2759:F2764" si="231">B2759+D2759</f>
        <v>14880.4</v>
      </c>
      <c r="G2759" s="17"/>
      <c r="H2759" s="7">
        <v>129.30000000000001</v>
      </c>
      <c r="I2759" s="7">
        <v>74.7</v>
      </c>
      <c r="J2759" s="7"/>
      <c r="K2759" s="7">
        <v>93.4</v>
      </c>
      <c r="M2759" s="7">
        <v>129.19999999999999</v>
      </c>
      <c r="N2759" s="7"/>
      <c r="O2759" s="70"/>
      <c r="Q2759" s="150" t="s">
        <v>129</v>
      </c>
      <c r="R2759" s="151"/>
      <c r="S2759" s="151"/>
      <c r="T2759" s="151"/>
      <c r="V2759" s="17"/>
      <c r="W2759" s="66">
        <v>0.52013888888888882</v>
      </c>
      <c r="X2759" s="7">
        <v>134.19999999999999</v>
      </c>
      <c r="Y2759" s="7">
        <v>69.3</v>
      </c>
      <c r="Z2759" s="66">
        <v>0.52013888888888882</v>
      </c>
    </row>
    <row r="2760" spans="2:26" x14ac:dyDescent="0.3">
      <c r="B2760" s="5">
        <f>B2761-50</f>
        <v>14850</v>
      </c>
      <c r="C2760" s="7">
        <v>66.05</v>
      </c>
      <c r="D2760" s="7">
        <v>54.9</v>
      </c>
      <c r="E2760" s="16"/>
      <c r="F2760" s="7">
        <f t="shared" si="231"/>
        <v>14904.9</v>
      </c>
      <c r="G2760" s="16"/>
      <c r="H2760" s="7">
        <v>96.1</v>
      </c>
      <c r="I2760" s="7">
        <v>50.75</v>
      </c>
      <c r="J2760" s="7"/>
      <c r="K2760" s="7">
        <v>63</v>
      </c>
      <c r="M2760" s="7">
        <v>95.05</v>
      </c>
      <c r="N2760" s="7"/>
      <c r="O2760" s="70"/>
      <c r="Q2760" s="159">
        <v>44320</v>
      </c>
      <c r="R2760" s="161">
        <v>14538.25</v>
      </c>
      <c r="S2760" s="161">
        <v>14693.9</v>
      </c>
      <c r="T2760" s="159">
        <v>44321</v>
      </c>
      <c r="V2760" s="17"/>
      <c r="W2760" s="66">
        <v>0.54097222222222219</v>
      </c>
      <c r="X2760" s="7">
        <v>107.5</v>
      </c>
      <c r="Y2760" s="7">
        <v>87.3</v>
      </c>
      <c r="Z2760" s="66">
        <v>0.54097222222222219</v>
      </c>
    </row>
    <row r="2761" spans="2:26" x14ac:dyDescent="0.3">
      <c r="B2761" s="97">
        <v>14900</v>
      </c>
      <c r="C2761" s="7">
        <v>43.9</v>
      </c>
      <c r="D2761" s="7">
        <v>34.4</v>
      </c>
      <c r="E2761" s="16"/>
      <c r="F2761" s="7">
        <f t="shared" si="231"/>
        <v>14934.4</v>
      </c>
      <c r="G2761" s="17"/>
      <c r="H2761" s="7">
        <v>68.25</v>
      </c>
      <c r="I2761" s="7">
        <v>32.200000000000003</v>
      </c>
      <c r="J2761" s="7"/>
      <c r="K2761" s="7">
        <v>39.200000000000003</v>
      </c>
      <c r="M2761" s="7">
        <v>66.150000000000006</v>
      </c>
      <c r="N2761" s="7"/>
      <c r="O2761" s="70"/>
      <c r="P2761" s="17"/>
      <c r="Q2761" s="159">
        <v>44321</v>
      </c>
      <c r="R2761" s="161">
        <v>14573.9</v>
      </c>
      <c r="S2761" s="161">
        <v>14738.25</v>
      </c>
      <c r="T2761" s="159">
        <v>44320</v>
      </c>
      <c r="V2761" s="17"/>
      <c r="W2761" s="66">
        <v>6.1805555555555558E-2</v>
      </c>
      <c r="X2761" s="7">
        <v>81.099999999999994</v>
      </c>
      <c r="Y2761" s="7">
        <v>114.15</v>
      </c>
      <c r="Z2761" s="66">
        <v>6.1805555555555558E-2</v>
      </c>
    </row>
    <row r="2762" spans="2:26" x14ac:dyDescent="0.3">
      <c r="B2762" s="5">
        <f>B2761+50</f>
        <v>14950</v>
      </c>
      <c r="C2762" s="51">
        <v>27.15</v>
      </c>
      <c r="D2762" s="23">
        <v>20.399999999999999</v>
      </c>
      <c r="E2762" s="16"/>
      <c r="F2762" s="98">
        <f t="shared" si="231"/>
        <v>14970.4</v>
      </c>
      <c r="G2762" s="116">
        <f>H2762-(H2759-H2760)</f>
        <v>12.249999999999986</v>
      </c>
      <c r="H2762" s="7">
        <v>45.45</v>
      </c>
      <c r="I2762" s="7">
        <v>19.350000000000001</v>
      </c>
      <c r="J2762" s="7"/>
      <c r="K2762" s="7">
        <v>22.1</v>
      </c>
      <c r="M2762" s="7">
        <v>42.8</v>
      </c>
      <c r="N2762" s="7"/>
      <c r="O2762" s="70"/>
      <c r="P2762" s="17"/>
      <c r="Q2762" s="159">
        <v>44322</v>
      </c>
      <c r="R2762" s="161">
        <v>14657.2</v>
      </c>
      <c r="S2762" s="161">
        <v>14767.2</v>
      </c>
      <c r="T2762" s="159">
        <v>44322</v>
      </c>
      <c r="V2762" s="17"/>
      <c r="W2762" s="66">
        <v>8.2638888888888887E-2</v>
      </c>
      <c r="X2762" s="7">
        <v>85.7</v>
      </c>
      <c r="Y2762" s="7">
        <v>105</v>
      </c>
      <c r="Z2762" s="66">
        <v>8.2638888888888887E-2</v>
      </c>
    </row>
    <row r="2763" spans="2:26" x14ac:dyDescent="0.3">
      <c r="B2763" s="99">
        <f>B2762+50</f>
        <v>15000</v>
      </c>
      <c r="C2763" s="7">
        <v>16</v>
      </c>
      <c r="D2763" s="7">
        <v>11.25</v>
      </c>
      <c r="E2763" s="16"/>
      <c r="F2763" s="7">
        <f t="shared" si="231"/>
        <v>15011.25</v>
      </c>
      <c r="G2763" s="17">
        <v>13.45</v>
      </c>
      <c r="H2763" s="7">
        <v>27.85</v>
      </c>
      <c r="I2763" s="7">
        <v>11.3</v>
      </c>
      <c r="J2763" s="7"/>
      <c r="K2763" s="7">
        <v>11.35</v>
      </c>
      <c r="M2763" s="7">
        <v>25.45</v>
      </c>
      <c r="N2763" s="7"/>
      <c r="O2763" s="70"/>
      <c r="P2763" s="17"/>
      <c r="Q2763" s="159">
        <v>44323</v>
      </c>
      <c r="R2763" s="161">
        <v>14825.85</v>
      </c>
      <c r="S2763" s="161">
        <v>14875.85</v>
      </c>
      <c r="T2763" s="159">
        <v>44323</v>
      </c>
      <c r="V2763" s="17"/>
    </row>
    <row r="2764" spans="2:26" x14ac:dyDescent="0.3">
      <c r="B2764" s="5">
        <f>B2763+50</f>
        <v>15050</v>
      </c>
      <c r="C2764" s="7">
        <v>8.65</v>
      </c>
      <c r="D2764" s="7">
        <v>5.9</v>
      </c>
      <c r="E2764" s="16">
        <f>E2765-(F2765-E2765)</f>
        <v>2.2750000000000057</v>
      </c>
      <c r="F2764" s="7">
        <f t="shared" si="231"/>
        <v>15055.9</v>
      </c>
      <c r="G2764" s="16"/>
      <c r="H2764" s="7">
        <v>15.55</v>
      </c>
      <c r="I2764" s="7">
        <v>6.05</v>
      </c>
      <c r="J2764" s="7"/>
      <c r="K2764" s="7">
        <v>4.9000000000000004</v>
      </c>
      <c r="M2764" s="7">
        <v>13.65</v>
      </c>
      <c r="N2764" s="7"/>
      <c r="O2764" s="70"/>
      <c r="P2764" s="17"/>
      <c r="Q2764" s="159">
        <v>44326</v>
      </c>
      <c r="R2764" s="161">
        <v>14943.1</v>
      </c>
      <c r="S2764" s="161">
        <v>15023.1</v>
      </c>
      <c r="T2764" s="159">
        <v>44326</v>
      </c>
      <c r="V2764" s="17"/>
    </row>
    <row r="2765" spans="2:26" x14ac:dyDescent="0.3">
      <c r="B2765" s="17"/>
      <c r="C2765" s="17"/>
      <c r="D2765" s="16"/>
      <c r="E2765" s="16">
        <f>F2765-(G2765-F2765)</f>
        <v>21.825000000000003</v>
      </c>
      <c r="F2765" s="16">
        <f>AVERAGE(C2761,C2774)</f>
        <v>41.375</v>
      </c>
      <c r="G2765" s="16">
        <f>AVERAGE(C2760,C2773)</f>
        <v>60.924999999999997</v>
      </c>
      <c r="H2765" s="7"/>
      <c r="I2765" s="7"/>
      <c r="J2765" s="7"/>
      <c r="K2765" s="7"/>
      <c r="P2765" s="17"/>
      <c r="V2765" s="16"/>
    </row>
    <row r="2766" spans="2:26" x14ac:dyDescent="0.3">
      <c r="B2766" s="17"/>
      <c r="C2766" s="17"/>
      <c r="D2766" s="16"/>
      <c r="E2766" s="16"/>
      <c r="F2766" s="16"/>
      <c r="G2766" s="16"/>
      <c r="P2766" s="17"/>
      <c r="Q2766" s="17"/>
      <c r="R2766" s="17"/>
      <c r="S2766" s="17"/>
      <c r="T2766" s="17"/>
      <c r="U2766" s="16"/>
      <c r="V2766" s="16"/>
      <c r="W2766" s="90" t="s">
        <v>68</v>
      </c>
      <c r="X2766" s="119" t="s">
        <v>69</v>
      </c>
      <c r="Y2766" s="92" t="s">
        <v>70</v>
      </c>
      <c r="Z2766" s="90" t="s">
        <v>68</v>
      </c>
    </row>
    <row r="2767" spans="2:26" x14ac:dyDescent="0.3">
      <c r="B2767" s="17"/>
      <c r="C2767" s="17"/>
      <c r="D2767" s="16"/>
      <c r="E2767" s="16"/>
      <c r="F2767" s="16"/>
      <c r="G2767" s="16"/>
      <c r="H2767" s="101"/>
      <c r="I2767" s="101"/>
      <c r="J2767" s="101"/>
      <c r="K2767" s="101"/>
      <c r="M2767" s="101"/>
      <c r="N2767" s="101"/>
      <c r="O2767" s="101"/>
      <c r="P2767" s="17"/>
      <c r="Q2767" s="17"/>
      <c r="R2767" s="17"/>
      <c r="S2767" s="17"/>
      <c r="T2767" s="17"/>
      <c r="U2767" s="16"/>
      <c r="V2767" s="16"/>
      <c r="W2767" s="66">
        <v>0.41597222222222219</v>
      </c>
      <c r="X2767" s="7">
        <v>27.15</v>
      </c>
      <c r="Y2767" s="7">
        <v>38.85</v>
      </c>
      <c r="Z2767" s="66">
        <v>0.41597222222222219</v>
      </c>
    </row>
    <row r="2768" spans="2:26" x14ac:dyDescent="0.3">
      <c r="B2768" s="16"/>
      <c r="C2768" s="95">
        <v>44328</v>
      </c>
      <c r="D2768" s="17"/>
      <c r="F2768" s="16"/>
      <c r="H2768" s="66">
        <v>0.48125000000000001</v>
      </c>
      <c r="I2768" s="66">
        <v>5.9027777777777783E-2</v>
      </c>
      <c r="J2768" s="66"/>
      <c r="K2768" s="66">
        <v>0.13541666666666666</v>
      </c>
      <c r="M2768" s="66">
        <v>0.49027777777777781</v>
      </c>
      <c r="N2768" s="66"/>
      <c r="O2768" s="68"/>
      <c r="P2768" s="17"/>
      <c r="Q2768" s="150" t="s">
        <v>72</v>
      </c>
      <c r="R2768" s="151"/>
      <c r="S2768" s="151"/>
      <c r="T2768" s="151"/>
      <c r="U2768" s="152"/>
      <c r="V2768" s="17"/>
      <c r="W2768" s="66">
        <v>0.4368055555555555</v>
      </c>
      <c r="X2768" s="7">
        <v>24.85</v>
      </c>
      <c r="Y2768" s="7">
        <v>40.450000000000003</v>
      </c>
      <c r="Z2768" s="66">
        <v>0.4368055555555555</v>
      </c>
    </row>
    <row r="2769" spans="2:26" x14ac:dyDescent="0.3">
      <c r="B2769" s="90" t="s">
        <v>68</v>
      </c>
      <c r="C2769" s="66">
        <v>0.41666666666666669</v>
      </c>
      <c r="D2769" s="66">
        <v>0.41319444444444442</v>
      </c>
      <c r="E2769" s="16">
        <f>F2769-(G2769-F2769)</f>
        <v>27.699999999999989</v>
      </c>
      <c r="F2769" s="16">
        <f>AVERAGE(C2773,C2761)</f>
        <v>49.849999999999994</v>
      </c>
      <c r="G2769" s="16">
        <f>AVERAGE(C2772,C2760)</f>
        <v>72</v>
      </c>
      <c r="H2769" s="7">
        <v>14917.4</v>
      </c>
      <c r="I2769" s="23">
        <v>49.85</v>
      </c>
      <c r="J2769" s="23"/>
      <c r="K2769" s="7">
        <v>14885</v>
      </c>
      <c r="M2769" s="23">
        <v>26.7</v>
      </c>
      <c r="N2769" s="23"/>
      <c r="O2769" s="162"/>
      <c r="P2769" s="17"/>
      <c r="Q2769" s="34"/>
      <c r="R2769" s="34" t="s">
        <v>111</v>
      </c>
      <c r="S2769" s="34" t="s">
        <v>2</v>
      </c>
      <c r="T2769" s="34" t="s">
        <v>1</v>
      </c>
      <c r="U2769" s="34" t="s">
        <v>111</v>
      </c>
      <c r="V2769" s="17"/>
      <c r="W2769" s="66">
        <v>0.45763888888888887</v>
      </c>
      <c r="X2769" s="7">
        <v>24.75</v>
      </c>
      <c r="Y2769" s="7">
        <v>37.200000000000003</v>
      </c>
      <c r="Z2769" s="66">
        <v>0.45763888888888887</v>
      </c>
    </row>
    <row r="2770" spans="2:26" x14ac:dyDescent="0.3">
      <c r="B2770" s="5">
        <f>B2771+50</f>
        <v>14950</v>
      </c>
      <c r="C2770" s="7">
        <v>138.80000000000001</v>
      </c>
      <c r="D2770" s="7">
        <v>136.9</v>
      </c>
      <c r="E2770" s="16">
        <f>E2769-(F2769-E2769)</f>
        <v>5.5499999999999829</v>
      </c>
      <c r="F2770" s="7">
        <f t="shared" ref="F2770:F2775" si="232">B2770-D2770</f>
        <v>14813.1</v>
      </c>
      <c r="G2770" s="16"/>
      <c r="H2770" s="7">
        <v>111.4</v>
      </c>
      <c r="I2770" s="7">
        <v>163.19999999999999</v>
      </c>
      <c r="J2770" s="7"/>
      <c r="K2770" s="7">
        <v>121.4</v>
      </c>
      <c r="M2770" s="7">
        <v>102.55</v>
      </c>
      <c r="N2770" s="7"/>
      <c r="O2770" s="70"/>
      <c r="P2770" s="17"/>
      <c r="Q2770" s="7">
        <f>(U2770*T2770)-(R2770*S2770)</f>
        <v>-1695</v>
      </c>
      <c r="R2770" s="109">
        <v>75</v>
      </c>
      <c r="S2770" s="7">
        <v>45.45</v>
      </c>
      <c r="T2770" s="18">
        <v>22.85</v>
      </c>
      <c r="U2770" s="109">
        <f>R2770</f>
        <v>75</v>
      </c>
      <c r="V2770" s="16"/>
      <c r="W2770" s="66">
        <v>0.47847222222222219</v>
      </c>
      <c r="X2770" s="7">
        <v>29.75</v>
      </c>
      <c r="Y2770" s="7">
        <v>31.65</v>
      </c>
      <c r="Z2770" s="66">
        <v>0.47847222222222219</v>
      </c>
    </row>
    <row r="2771" spans="2:26" x14ac:dyDescent="0.3">
      <c r="B2771" s="5">
        <f>B2772+50</f>
        <v>14900</v>
      </c>
      <c r="C2771" s="7">
        <v>105</v>
      </c>
      <c r="D2771" s="7">
        <v>104</v>
      </c>
      <c r="E2771" s="16"/>
      <c r="F2771" s="7">
        <f t="shared" si="232"/>
        <v>14796</v>
      </c>
      <c r="G2771" s="17"/>
      <c r="H2771" s="7">
        <v>84</v>
      </c>
      <c r="I2771" s="7">
        <v>126</v>
      </c>
      <c r="J2771" s="7"/>
      <c r="K2771" s="7">
        <v>88.05</v>
      </c>
      <c r="M2771" s="7">
        <v>76.150000000000006</v>
      </c>
      <c r="N2771" s="7"/>
      <c r="O2771" s="70"/>
      <c r="P2771" s="17"/>
      <c r="Q2771" s="7">
        <f>(U2771*T2771)-(R2771*S2771)</f>
        <v>-1758.75</v>
      </c>
      <c r="R2771" s="109">
        <v>75</v>
      </c>
      <c r="S2771" s="7">
        <v>45.45</v>
      </c>
      <c r="T2771" s="18">
        <v>22</v>
      </c>
      <c r="U2771" s="109">
        <f>R2771</f>
        <v>75</v>
      </c>
      <c r="V2771" s="16"/>
      <c r="W2771" s="66">
        <v>0.4993055555555555</v>
      </c>
      <c r="X2771" s="7">
        <v>36.5</v>
      </c>
      <c r="Y2771" s="7">
        <v>28.5</v>
      </c>
      <c r="Z2771" s="66">
        <v>0.4993055555555555</v>
      </c>
    </row>
    <row r="2772" spans="2:26" x14ac:dyDescent="0.3">
      <c r="B2772" s="97">
        <v>14850</v>
      </c>
      <c r="C2772" s="7">
        <v>77.95</v>
      </c>
      <c r="D2772" s="7">
        <v>76.7</v>
      </c>
      <c r="E2772" s="16"/>
      <c r="F2772" s="7">
        <f t="shared" si="232"/>
        <v>14773.3</v>
      </c>
      <c r="G2772" s="17"/>
      <c r="H2772" s="7">
        <v>61.9</v>
      </c>
      <c r="I2772" s="7">
        <v>94.85</v>
      </c>
      <c r="J2772" s="7"/>
      <c r="K2772" s="7">
        <v>62.45</v>
      </c>
      <c r="M2772" s="7">
        <v>55.15</v>
      </c>
      <c r="N2772" s="7"/>
      <c r="O2772" s="70"/>
      <c r="P2772" s="17"/>
      <c r="Q2772" s="7">
        <f>(U2772*T2772)-(R2772*S2772)</f>
        <v>0</v>
      </c>
      <c r="R2772" s="109"/>
      <c r="S2772" s="18"/>
      <c r="T2772" s="18"/>
      <c r="U2772" s="109">
        <f>R2772</f>
        <v>0</v>
      </c>
      <c r="V2772" s="17"/>
      <c r="W2772" s="66">
        <v>0.52013888888888882</v>
      </c>
      <c r="X2772" s="7">
        <v>45.75</v>
      </c>
      <c r="Y2772" s="7">
        <v>23.2</v>
      </c>
      <c r="Z2772" s="66">
        <v>0.52013888888888882</v>
      </c>
    </row>
    <row r="2773" spans="2:26" x14ac:dyDescent="0.3">
      <c r="B2773" s="14">
        <f>B2772-50</f>
        <v>14800</v>
      </c>
      <c r="C2773" s="7">
        <v>55.8</v>
      </c>
      <c r="D2773" s="23">
        <v>55.1</v>
      </c>
      <c r="E2773" s="16"/>
      <c r="F2773" s="98">
        <f t="shared" si="232"/>
        <v>14744.9</v>
      </c>
      <c r="G2773" s="17"/>
      <c r="H2773" s="7">
        <v>44.65</v>
      </c>
      <c r="I2773" s="7">
        <v>68.900000000000006</v>
      </c>
      <c r="J2773" s="7"/>
      <c r="K2773" s="7">
        <v>42.65</v>
      </c>
      <c r="M2773" s="7">
        <v>39.15</v>
      </c>
      <c r="N2773" s="7"/>
      <c r="O2773" s="70"/>
      <c r="P2773" s="17"/>
      <c r="Q2773" s="7">
        <f>(U2773*T2773)-(R2773*S2773)</f>
        <v>0</v>
      </c>
      <c r="R2773" s="109"/>
      <c r="S2773" s="18"/>
      <c r="T2773" s="18"/>
      <c r="U2773" s="109">
        <f>R2773</f>
        <v>0</v>
      </c>
      <c r="V2773" s="17"/>
      <c r="W2773" s="66">
        <v>0.54097222222222219</v>
      </c>
      <c r="X2773" s="7">
        <v>31.9</v>
      </c>
      <c r="Y2773" s="7">
        <v>29.05</v>
      </c>
      <c r="Z2773" s="66">
        <v>0.54097222222222219</v>
      </c>
    </row>
    <row r="2774" spans="2:26" x14ac:dyDescent="0.3">
      <c r="B2774" s="99">
        <f>B2773-50</f>
        <v>14750</v>
      </c>
      <c r="C2774" s="51">
        <v>38.85</v>
      </c>
      <c r="D2774" s="7">
        <v>38.200000000000003</v>
      </c>
      <c r="E2774" s="16"/>
      <c r="F2774" s="7">
        <f t="shared" si="232"/>
        <v>14711.8</v>
      </c>
      <c r="G2774" s="17"/>
      <c r="H2774" s="7">
        <v>31.15</v>
      </c>
      <c r="I2774" s="7">
        <v>48.5</v>
      </c>
      <c r="J2774" s="7"/>
      <c r="K2774" s="7">
        <v>28.25</v>
      </c>
      <c r="M2774" s="7">
        <v>27.15</v>
      </c>
      <c r="N2774" s="7"/>
      <c r="O2774" s="70"/>
      <c r="P2774" s="17"/>
      <c r="Q2774" s="7">
        <f>SUM(Q2770:Q2773)</f>
        <v>-3453.75</v>
      </c>
      <c r="R2774" s="7">
        <f>SUM(R2770:R2773)</f>
        <v>150</v>
      </c>
      <c r="S2774" s="109">
        <f>R2774-U2774</f>
        <v>0</v>
      </c>
      <c r="T2774" s="114" t="e">
        <f>Q2774/S2774</f>
        <v>#DIV/0!</v>
      </c>
      <c r="U2774" s="7">
        <f>SUM(U2770:U2773)</f>
        <v>150</v>
      </c>
      <c r="V2774" s="17"/>
      <c r="W2774" s="66">
        <v>6.1805555555555558E-2</v>
      </c>
      <c r="X2774" s="7">
        <v>21.7</v>
      </c>
      <c r="Y2774" s="7">
        <v>40.75</v>
      </c>
      <c r="Z2774" s="66">
        <v>6.1805555555555558E-2</v>
      </c>
    </row>
    <row r="2775" spans="2:26" x14ac:dyDescent="0.3">
      <c r="B2775" s="5">
        <f>B2774-50</f>
        <v>14700</v>
      </c>
      <c r="C2775" s="7">
        <v>26.7</v>
      </c>
      <c r="D2775" s="7">
        <v>26.2</v>
      </c>
      <c r="E2775" s="16"/>
      <c r="F2775" s="7">
        <f t="shared" si="232"/>
        <v>14673.8</v>
      </c>
      <c r="G2775" s="17"/>
      <c r="H2775" s="7">
        <v>21.55</v>
      </c>
      <c r="I2775" s="7">
        <v>33.049999999999997</v>
      </c>
      <c r="J2775" s="7"/>
      <c r="K2775" s="7">
        <v>17.899999999999999</v>
      </c>
      <c r="M2775" s="7">
        <v>18.5</v>
      </c>
      <c r="N2775" s="7"/>
      <c r="O2775" s="70"/>
      <c r="W2775" s="66">
        <v>8.2638888888888887E-2</v>
      </c>
      <c r="X2775" s="7">
        <v>23.25</v>
      </c>
      <c r="Y2775" s="7">
        <v>34.549999999999997</v>
      </c>
      <c r="Z2775" s="66">
        <v>8.2638888888888887E-2</v>
      </c>
    </row>
    <row r="2776" spans="2:26" x14ac:dyDescent="0.3">
      <c r="H2776" s="7"/>
      <c r="I2776" s="7"/>
      <c r="J2776" s="7"/>
      <c r="K2776" s="7"/>
      <c r="P2776" s="98">
        <f>Q2774</f>
        <v>-3453.75</v>
      </c>
      <c r="Q2776" s="92" t="s">
        <v>72</v>
      </c>
      <c r="R2776" s="17"/>
      <c r="T2776" s="92" t="s">
        <v>73</v>
      </c>
      <c r="U2776" s="7">
        <f>((X2768+Y2768)-(X2776+Y2776))</f>
        <v>-20.599999999999994</v>
      </c>
      <c r="V2776" s="98">
        <f>U2776*150</f>
        <v>-3089.9999999999991</v>
      </c>
      <c r="W2776" s="66">
        <v>0.48125000000000001</v>
      </c>
      <c r="X2776" s="7">
        <v>45.45</v>
      </c>
      <c r="Y2776" s="7">
        <v>40.450000000000003</v>
      </c>
      <c r="Z2776" s="66">
        <v>5.4166666666666669E-2</v>
      </c>
    </row>
    <row r="2786" spans="2:26" x14ac:dyDescent="0.3">
      <c r="B2786" s="40"/>
      <c r="C2786" s="50">
        <f>AVERAGE(B2787,D2786)</f>
        <v>14818</v>
      </c>
      <c r="D2786" s="51">
        <f>B2787+E2787</f>
        <v>14873</v>
      </c>
      <c r="E2786" s="50">
        <f>AVERAGE(D2786,F2786)</f>
        <v>14928</v>
      </c>
      <c r="F2786" s="50">
        <f>D2786+E2787</f>
        <v>14983</v>
      </c>
      <c r="G2786" s="17"/>
      <c r="H2786" s="88" t="str">
        <f>IF((C2795-D2795)&gt;(C2806-D2806),"LONG",IF(C2806&gt;D2804,"LONG","SHORT"))</f>
        <v>SHORT</v>
      </c>
      <c r="I2786" s="104">
        <v>14734</v>
      </c>
      <c r="J2786" s="120" t="s">
        <v>122</v>
      </c>
      <c r="K2786" s="106">
        <v>14842</v>
      </c>
      <c r="L2786" s="17"/>
      <c r="N2786" s="17"/>
      <c r="O2786" s="17"/>
      <c r="U2786" s="17"/>
      <c r="V2786" s="17"/>
    </row>
    <row r="2787" spans="2:26" x14ac:dyDescent="0.3">
      <c r="B2787" s="50">
        <v>14763</v>
      </c>
      <c r="C2787" s="40"/>
      <c r="D2787" s="58"/>
      <c r="E2787" s="59">
        <f>ROUND((((B2787*F2787%)/4)/10),0)*10</f>
        <v>110</v>
      </c>
      <c r="F2787" s="51">
        <f>(100/B2787)*(F2796-F2807)</f>
        <v>2.8879631511210486</v>
      </c>
      <c r="G2787" s="17"/>
      <c r="H2787" s="93">
        <v>0.39166666666666666</v>
      </c>
      <c r="I2787" s="93">
        <v>0.39861111111111108</v>
      </c>
      <c r="J2787" s="93">
        <v>0.4055555555555555</v>
      </c>
      <c r="K2787" s="93">
        <v>0.41250000000000003</v>
      </c>
      <c r="M2787" s="50">
        <v>14800</v>
      </c>
      <c r="N2787" s="17"/>
      <c r="O2787" s="17"/>
      <c r="U2787" s="17"/>
      <c r="V2787" s="17"/>
      <c r="W2787" s="90" t="s">
        <v>68</v>
      </c>
      <c r="X2787" s="119" t="s">
        <v>69</v>
      </c>
      <c r="Y2787" s="92" t="s">
        <v>70</v>
      </c>
      <c r="Z2787" s="90" t="s">
        <v>68</v>
      </c>
    </row>
    <row r="2788" spans="2:26" x14ac:dyDescent="0.3">
      <c r="B2788" s="40"/>
      <c r="C2788" s="50">
        <f>AVERAGE(B2787,D2788)</f>
        <v>14708</v>
      </c>
      <c r="D2788" s="51">
        <f>B2787-E2787</f>
        <v>14653</v>
      </c>
      <c r="E2788" s="50">
        <f>AVERAGE(D2788,F2788)</f>
        <v>14598</v>
      </c>
      <c r="F2788" s="50">
        <f>D2788-E2787</f>
        <v>14543</v>
      </c>
      <c r="G2788" s="17"/>
      <c r="H2788" s="51">
        <v>14795</v>
      </c>
      <c r="I2788" s="51">
        <v>14756.05</v>
      </c>
      <c r="J2788" s="51">
        <v>14773.55</v>
      </c>
      <c r="K2788" s="51">
        <v>14760.9</v>
      </c>
      <c r="L2788" s="17"/>
      <c r="N2788" s="17"/>
      <c r="O2788" s="17"/>
      <c r="U2788" s="17"/>
      <c r="V2788" s="17"/>
      <c r="W2788" s="66">
        <v>0.41597222222222219</v>
      </c>
      <c r="X2788" s="7">
        <v>134.55000000000001</v>
      </c>
      <c r="Y2788" s="7">
        <v>157.69999999999999</v>
      </c>
      <c r="Z2788" s="66">
        <v>0.41597222222222219</v>
      </c>
    </row>
    <row r="2789" spans="2:26" x14ac:dyDescent="0.3">
      <c r="B2789" s="17"/>
      <c r="C2789" s="17"/>
      <c r="D2789" s="17"/>
      <c r="E2789" s="17"/>
      <c r="F2789" s="16"/>
      <c r="G2789" s="16"/>
      <c r="H2789" s="17"/>
      <c r="I2789" s="17"/>
      <c r="J2789" s="17"/>
      <c r="K2789" s="16"/>
      <c r="L2789" s="17"/>
      <c r="M2789" s="17"/>
      <c r="N2789" s="17"/>
      <c r="O2789" s="17"/>
      <c r="U2789" s="17"/>
      <c r="V2789" s="17"/>
      <c r="W2789" s="66">
        <v>0.4368055555555555</v>
      </c>
      <c r="X2789" s="7">
        <v>122.75</v>
      </c>
      <c r="Y2789" s="7">
        <v>174.9</v>
      </c>
      <c r="Z2789" s="66">
        <v>0.4368055555555555</v>
      </c>
    </row>
    <row r="2790" spans="2:26" x14ac:dyDescent="0.3">
      <c r="B2790" s="16"/>
      <c r="C2790" s="17"/>
      <c r="D2790" s="17"/>
      <c r="E2790" s="17"/>
      <c r="F2790" s="17"/>
      <c r="G2790" s="17"/>
      <c r="H2790" s="16"/>
      <c r="I2790" s="17"/>
      <c r="J2790" s="17"/>
      <c r="K2790" s="17"/>
      <c r="L2790" s="17"/>
      <c r="M2790" s="17"/>
      <c r="N2790" s="17"/>
      <c r="O2790" s="17"/>
      <c r="U2790" s="17"/>
      <c r="V2790" s="17"/>
      <c r="W2790" s="66">
        <v>0.45763888888888887</v>
      </c>
      <c r="X2790" s="7">
        <v>130.25</v>
      </c>
      <c r="Y2790" s="7">
        <v>161</v>
      </c>
      <c r="Z2790" s="66">
        <v>0.45763888888888887</v>
      </c>
    </row>
    <row r="2791" spans="2:26" x14ac:dyDescent="0.3">
      <c r="B2791" s="16"/>
      <c r="C2791" s="95">
        <v>44328</v>
      </c>
      <c r="D2791" s="17"/>
      <c r="E2791" s="17"/>
      <c r="F2791" s="7">
        <f>AVERAGE(F2793,F2804)</f>
        <v>14777.125</v>
      </c>
      <c r="G2791" s="96"/>
      <c r="H2791" s="66">
        <v>0.42638888888888887</v>
      </c>
      <c r="I2791" s="66">
        <v>0.4375</v>
      </c>
      <c r="J2791" s="66">
        <v>0.50694444444444442</v>
      </c>
      <c r="K2791" s="66">
        <v>0.13541666666666666</v>
      </c>
      <c r="M2791" s="66">
        <v>4.7222222222222221E-2</v>
      </c>
      <c r="N2791" s="66">
        <v>0.11875000000000001</v>
      </c>
      <c r="O2791" s="68"/>
      <c r="Q2791" s="17"/>
      <c r="R2791" s="17"/>
      <c r="S2791" s="17"/>
      <c r="T2791" s="17"/>
      <c r="U2791" s="17"/>
      <c r="V2791" s="17"/>
      <c r="W2791" s="66">
        <v>0.47847222222222219</v>
      </c>
      <c r="X2791" s="7">
        <v>121.8</v>
      </c>
      <c r="Y2791" s="7">
        <v>176.4</v>
      </c>
      <c r="Z2791" s="66">
        <v>0.47847222222222219</v>
      </c>
    </row>
    <row r="2792" spans="2:26" x14ac:dyDescent="0.3">
      <c r="B2792" s="90" t="s">
        <v>68</v>
      </c>
      <c r="C2792" s="66">
        <v>0.41666666666666669</v>
      </c>
      <c r="D2792" s="66">
        <v>0.40069444444444446</v>
      </c>
      <c r="E2792" s="17"/>
      <c r="F2792" s="17"/>
      <c r="G2792" s="17"/>
      <c r="H2792" s="7">
        <v>14745.2</v>
      </c>
      <c r="I2792" s="7">
        <v>14722.15</v>
      </c>
      <c r="J2792" s="7">
        <v>14763</v>
      </c>
      <c r="K2792" s="7">
        <v>14718.45</v>
      </c>
      <c r="M2792" s="7">
        <v>14786.15</v>
      </c>
      <c r="N2792" s="23">
        <v>56.05</v>
      </c>
      <c r="O2792" s="162"/>
      <c r="R2792" s="17"/>
      <c r="S2792" s="17"/>
      <c r="U2792" s="17"/>
      <c r="V2792" s="17"/>
      <c r="W2792" s="66">
        <v>0.4993055555555555</v>
      </c>
      <c r="X2792" s="7">
        <v>124</v>
      </c>
      <c r="Y2792" s="7">
        <v>168.7</v>
      </c>
      <c r="Z2792" s="66">
        <v>0.4993055555555555</v>
      </c>
    </row>
    <row r="2793" spans="2:26" x14ac:dyDescent="0.3">
      <c r="B2793" s="5">
        <f>B2794-50</f>
        <v>14750</v>
      </c>
      <c r="C2793" s="7">
        <v>160.4</v>
      </c>
      <c r="D2793" s="7">
        <v>152.15</v>
      </c>
      <c r="E2793" s="16"/>
      <c r="F2793" s="7">
        <f t="shared" ref="F2793:F2798" si="233">B2793+D2793</f>
        <v>14902.15</v>
      </c>
      <c r="G2793" s="17"/>
      <c r="H2793" s="7">
        <v>153.05000000000001</v>
      </c>
      <c r="I2793" s="7">
        <v>145</v>
      </c>
      <c r="J2793" s="7">
        <v>155.55000000000001</v>
      </c>
      <c r="K2793" s="7">
        <v>126.65</v>
      </c>
      <c r="M2793" s="7">
        <v>165.4</v>
      </c>
      <c r="N2793" s="7">
        <v>135.44999999999999</v>
      </c>
      <c r="O2793" s="70"/>
      <c r="Q2793" s="150" t="s">
        <v>129</v>
      </c>
      <c r="R2793" s="151"/>
      <c r="S2793" s="151"/>
      <c r="T2793" s="151"/>
      <c r="V2793" s="17"/>
      <c r="W2793" s="66">
        <v>0.52013888888888882</v>
      </c>
      <c r="X2793" s="7">
        <v>136.05000000000001</v>
      </c>
      <c r="Y2793" s="7">
        <v>144.69999999999999</v>
      </c>
      <c r="Z2793" s="66">
        <v>0.52013888888888882</v>
      </c>
    </row>
    <row r="2794" spans="2:26" x14ac:dyDescent="0.3">
      <c r="B2794" s="5">
        <f>B2795-50</f>
        <v>14800</v>
      </c>
      <c r="C2794" s="7">
        <v>134.55000000000001</v>
      </c>
      <c r="D2794" s="7">
        <v>126.95</v>
      </c>
      <c r="E2794" s="16"/>
      <c r="F2794" s="7">
        <f t="shared" si="233"/>
        <v>14926.95</v>
      </c>
      <c r="G2794" s="17"/>
      <c r="H2794" s="7">
        <v>127.75</v>
      </c>
      <c r="I2794" s="7">
        <v>122.2</v>
      </c>
      <c r="J2794" s="7">
        <v>129.30000000000001</v>
      </c>
      <c r="K2794" s="7">
        <v>103.75</v>
      </c>
      <c r="M2794" s="7">
        <v>136.75</v>
      </c>
      <c r="N2794" s="7">
        <v>110.75</v>
      </c>
      <c r="O2794" s="70"/>
      <c r="P2794" s="17"/>
      <c r="Q2794" s="159">
        <v>44321</v>
      </c>
      <c r="R2794" s="161">
        <v>14573.9</v>
      </c>
      <c r="S2794" s="161">
        <v>14693.9</v>
      </c>
      <c r="T2794" s="159">
        <v>44321</v>
      </c>
      <c r="V2794" s="17"/>
      <c r="W2794" s="66">
        <v>0.54097222222222219</v>
      </c>
      <c r="X2794" s="7">
        <v>133.35</v>
      </c>
      <c r="Y2794" s="7">
        <v>146.1</v>
      </c>
      <c r="Z2794" s="66">
        <v>0.54097222222222219</v>
      </c>
    </row>
    <row r="2795" spans="2:26" x14ac:dyDescent="0.3">
      <c r="B2795" s="97">
        <v>14850</v>
      </c>
      <c r="C2795" s="7">
        <v>111.8</v>
      </c>
      <c r="D2795" s="7">
        <v>104.8</v>
      </c>
      <c r="E2795" s="16"/>
      <c r="F2795" s="7">
        <f t="shared" si="233"/>
        <v>14954.8</v>
      </c>
      <c r="G2795" s="17"/>
      <c r="H2795" s="7">
        <v>105.6</v>
      </c>
      <c r="I2795" s="7">
        <v>101.05</v>
      </c>
      <c r="J2795" s="7">
        <v>106.1</v>
      </c>
      <c r="K2795" s="7">
        <v>83.2</v>
      </c>
      <c r="M2795" s="7">
        <v>111.85</v>
      </c>
      <c r="N2795" s="7">
        <v>88.8</v>
      </c>
      <c r="O2795" s="70"/>
      <c r="P2795" s="17"/>
      <c r="Q2795" s="159">
        <v>44322</v>
      </c>
      <c r="R2795" s="161">
        <v>14657.2</v>
      </c>
      <c r="S2795" s="161">
        <v>14767.2</v>
      </c>
      <c r="T2795" s="159">
        <v>44322</v>
      </c>
      <c r="V2795" s="17"/>
      <c r="W2795" s="66">
        <v>6.1805555555555558E-2</v>
      </c>
      <c r="X2795" s="7">
        <v>135</v>
      </c>
      <c r="Y2795" s="7">
        <v>139.30000000000001</v>
      </c>
      <c r="Z2795" s="66">
        <v>6.1805555555555558E-2</v>
      </c>
    </row>
    <row r="2796" spans="2:26" x14ac:dyDescent="0.3">
      <c r="B2796" s="5">
        <f>B2795+50</f>
        <v>14900</v>
      </c>
      <c r="C2796" s="7">
        <v>89.95</v>
      </c>
      <c r="D2796" s="7">
        <v>84.45</v>
      </c>
      <c r="E2796" s="16"/>
      <c r="F2796" s="98">
        <f t="shared" si="233"/>
        <v>14984.45</v>
      </c>
      <c r="G2796" s="17"/>
      <c r="H2796" s="7">
        <v>84.9</v>
      </c>
      <c r="I2796" s="7">
        <v>81.400000000000006</v>
      </c>
      <c r="J2796" s="7">
        <v>85.75</v>
      </c>
      <c r="K2796" s="7">
        <v>65.349999999999994</v>
      </c>
      <c r="M2796" s="7">
        <v>89.2</v>
      </c>
      <c r="N2796" s="7">
        <v>70.099999999999994</v>
      </c>
      <c r="O2796" s="70"/>
      <c r="P2796" s="17"/>
      <c r="Q2796" s="159">
        <v>44323</v>
      </c>
      <c r="R2796" s="161">
        <v>14825.85</v>
      </c>
      <c r="S2796" s="161">
        <v>14875.85</v>
      </c>
      <c r="T2796" s="159">
        <v>44323</v>
      </c>
      <c r="V2796" s="17"/>
      <c r="W2796" s="66">
        <v>8.2638888888888887E-2</v>
      </c>
      <c r="X2796" s="7">
        <v>125.15</v>
      </c>
      <c r="Y2796" s="7">
        <v>147.05000000000001</v>
      </c>
      <c r="Z2796" s="66">
        <v>8.2638888888888887E-2</v>
      </c>
    </row>
    <row r="2797" spans="2:26" x14ac:dyDescent="0.3">
      <c r="B2797" s="99">
        <f>B2796+50</f>
        <v>14950</v>
      </c>
      <c r="C2797" s="51">
        <v>71.45</v>
      </c>
      <c r="D2797" s="7">
        <v>67.75</v>
      </c>
      <c r="E2797" s="16"/>
      <c r="F2797" s="7">
        <f t="shared" si="233"/>
        <v>15017.75</v>
      </c>
      <c r="G2797" s="17"/>
      <c r="H2797" s="7">
        <v>67.5</v>
      </c>
      <c r="I2797" s="7">
        <v>65.150000000000006</v>
      </c>
      <c r="J2797" s="7">
        <v>68.45</v>
      </c>
      <c r="K2797" s="7">
        <v>50.7</v>
      </c>
      <c r="M2797" s="7">
        <v>71</v>
      </c>
      <c r="N2797" s="7">
        <v>54.15</v>
      </c>
      <c r="O2797" s="70"/>
      <c r="P2797" s="17"/>
      <c r="Q2797" s="159">
        <v>44327</v>
      </c>
      <c r="R2797" s="161">
        <v>14843.5</v>
      </c>
      <c r="S2797" s="161">
        <v>14933.5</v>
      </c>
      <c r="T2797" s="159">
        <v>44327</v>
      </c>
      <c r="V2797" s="17"/>
    </row>
    <row r="2798" spans="2:26" x14ac:dyDescent="0.3">
      <c r="B2798" s="5">
        <f>B2797+50</f>
        <v>15000</v>
      </c>
      <c r="C2798" s="7">
        <v>56.05</v>
      </c>
      <c r="D2798" s="7">
        <v>52.75</v>
      </c>
      <c r="E2798" s="16">
        <f>E2799-(F2799-E2799)</f>
        <v>54.775000000000006</v>
      </c>
      <c r="F2798" s="7">
        <f t="shared" si="233"/>
        <v>15052.75</v>
      </c>
      <c r="G2798" s="16"/>
      <c r="H2798" s="7">
        <v>52.7</v>
      </c>
      <c r="I2798" s="7">
        <v>51.2</v>
      </c>
      <c r="J2798" s="7">
        <v>53.5</v>
      </c>
      <c r="K2798" s="7">
        <v>38.85</v>
      </c>
      <c r="M2798" s="7">
        <v>54</v>
      </c>
      <c r="N2798" s="7">
        <v>41.6</v>
      </c>
      <c r="O2798" s="70"/>
      <c r="P2798" s="17"/>
      <c r="Q2798" s="159">
        <v>44326</v>
      </c>
      <c r="R2798" s="161">
        <v>14943.1</v>
      </c>
      <c r="S2798" s="161">
        <v>15023.1</v>
      </c>
      <c r="T2798" s="159">
        <v>44326</v>
      </c>
      <c r="V2798" s="17"/>
    </row>
    <row r="2799" spans="2:26" x14ac:dyDescent="0.3">
      <c r="B2799" s="17"/>
      <c r="C2799" s="17"/>
      <c r="D2799" s="16"/>
      <c r="E2799" s="16">
        <f>F2799-(G2799-F2799)</f>
        <v>74.650000000000006</v>
      </c>
      <c r="F2799" s="16">
        <f>AVERAGE(C2796,C2808)</f>
        <v>94.525000000000006</v>
      </c>
      <c r="G2799" s="16">
        <f>AVERAGE(C2795,C2807)</f>
        <v>114.4</v>
      </c>
      <c r="H2799" s="7"/>
      <c r="I2799" s="7"/>
      <c r="J2799" s="7"/>
      <c r="K2799" s="7"/>
      <c r="P2799" s="17"/>
      <c r="V2799" s="16"/>
    </row>
    <row r="2800" spans="2:26" x14ac:dyDescent="0.3">
      <c r="B2800" s="17"/>
      <c r="C2800" s="16">
        <f>E2799-H2797</f>
        <v>7.1500000000000057</v>
      </c>
      <c r="D2800" s="16">
        <f>H2808-(C2800*2)</f>
        <v>90.1</v>
      </c>
      <c r="E2800" s="16"/>
      <c r="F2800" s="16"/>
      <c r="G2800" s="16"/>
      <c r="H2800" s="40"/>
      <c r="P2800" s="17"/>
      <c r="Q2800" s="17">
        <f>95.6-89</f>
        <v>6.5999999999999943</v>
      </c>
      <c r="R2800" s="17"/>
      <c r="S2800" s="17"/>
      <c r="T2800" s="17"/>
      <c r="U2800" s="16"/>
      <c r="V2800" s="16"/>
      <c r="W2800" s="90" t="s">
        <v>68</v>
      </c>
      <c r="X2800" s="119" t="s">
        <v>69</v>
      </c>
      <c r="Y2800" s="92" t="s">
        <v>70</v>
      </c>
      <c r="Z2800" s="90" t="s">
        <v>68</v>
      </c>
    </row>
    <row r="2801" spans="2:26" x14ac:dyDescent="0.3">
      <c r="B2801" s="17"/>
      <c r="C2801" s="17"/>
      <c r="D2801" s="16"/>
      <c r="E2801" s="16"/>
      <c r="F2801" s="16"/>
      <c r="G2801" s="16"/>
      <c r="H2801" s="101"/>
      <c r="I2801" s="101"/>
      <c r="J2801" s="101"/>
      <c r="K2801" s="101"/>
      <c r="M2801" s="101"/>
      <c r="N2801" s="101"/>
      <c r="O2801" s="101"/>
      <c r="P2801" s="17"/>
      <c r="Q2801" s="17"/>
      <c r="R2801" s="17"/>
      <c r="S2801" s="17"/>
      <c r="T2801" s="17"/>
      <c r="U2801" s="16"/>
      <c r="V2801" s="16"/>
      <c r="W2801" s="66">
        <v>0.41597222222222219</v>
      </c>
      <c r="X2801" s="7">
        <v>71.45</v>
      </c>
      <c r="Y2801" s="7">
        <v>99.1</v>
      </c>
      <c r="Z2801" s="66">
        <v>0.41597222222222219</v>
      </c>
    </row>
    <row r="2802" spans="2:26" x14ac:dyDescent="0.3">
      <c r="B2802" s="16"/>
      <c r="C2802" s="95">
        <v>44336</v>
      </c>
      <c r="D2802" s="17"/>
      <c r="F2802" s="16"/>
      <c r="H2802" s="66">
        <v>0.42638888888888887</v>
      </c>
      <c r="I2802" s="66" t="s">
        <v>127</v>
      </c>
      <c r="J2802" s="66">
        <v>0.50694444444444442</v>
      </c>
      <c r="K2802" s="66">
        <v>0.13541666666666666</v>
      </c>
      <c r="M2802" s="66">
        <v>4.7222222222222221E-2</v>
      </c>
      <c r="N2802" s="66">
        <v>0.11875000000000001</v>
      </c>
      <c r="O2802" s="68"/>
      <c r="P2802" s="17"/>
      <c r="Q2802" s="150" t="s">
        <v>72</v>
      </c>
      <c r="R2802" s="151"/>
      <c r="S2802" s="151"/>
      <c r="T2802" s="151"/>
      <c r="U2802" s="152"/>
      <c r="V2802" s="17"/>
      <c r="W2802" s="66">
        <v>0.4368055555555555</v>
      </c>
      <c r="X2802" s="7">
        <v>65</v>
      </c>
      <c r="Y2802" s="7">
        <v>112.9</v>
      </c>
      <c r="Z2802" s="66">
        <v>0.4368055555555555</v>
      </c>
    </row>
    <row r="2803" spans="2:26" x14ac:dyDescent="0.3">
      <c r="B2803" s="90" t="s">
        <v>68</v>
      </c>
      <c r="C2803" s="66">
        <v>0.41666666666666669</v>
      </c>
      <c r="D2803" s="66">
        <v>0.38750000000000001</v>
      </c>
      <c r="E2803" s="16">
        <f>F2803-(G2803-F2803)</f>
        <v>83.149999999999977</v>
      </c>
      <c r="F2803" s="16">
        <f>AVERAGE(C2807,C2796)</f>
        <v>103.47499999999999</v>
      </c>
      <c r="G2803" s="16">
        <f>AVERAGE(C2806,C2795)</f>
        <v>123.80000000000001</v>
      </c>
      <c r="H2803" s="23">
        <v>103.4</v>
      </c>
      <c r="I2803" s="23">
        <v>117.5</v>
      </c>
      <c r="J2803" s="23">
        <v>94.5</v>
      </c>
      <c r="K2803" s="7">
        <v>14718.45</v>
      </c>
      <c r="M2803" s="23">
        <v>84.5</v>
      </c>
      <c r="N2803" s="7">
        <v>14732.15</v>
      </c>
      <c r="O2803" s="70"/>
      <c r="P2803" s="17"/>
      <c r="Q2803" s="34"/>
      <c r="R2803" s="34" t="s">
        <v>111</v>
      </c>
      <c r="S2803" s="34" t="s">
        <v>2</v>
      </c>
      <c r="T2803" s="34" t="s">
        <v>1</v>
      </c>
      <c r="U2803" s="34" t="s">
        <v>111</v>
      </c>
      <c r="V2803" s="17"/>
      <c r="W2803" s="66">
        <v>0.45763888888888887</v>
      </c>
      <c r="X2803" s="7">
        <v>68.900000000000006</v>
      </c>
      <c r="Y2803" s="7">
        <v>101.7</v>
      </c>
      <c r="Z2803" s="66">
        <v>0.45763888888888887</v>
      </c>
    </row>
    <row r="2804" spans="2:26" x14ac:dyDescent="0.3">
      <c r="B2804" s="5">
        <f>B2805+50</f>
        <v>14800</v>
      </c>
      <c r="C2804" s="7">
        <v>182</v>
      </c>
      <c r="D2804" s="7">
        <v>147.9</v>
      </c>
      <c r="E2804" s="16">
        <f>E2803-(F2803-E2803)</f>
        <v>62.82499999999996</v>
      </c>
      <c r="F2804" s="7">
        <f t="shared" ref="F2804:F2809" si="234">B2804-D2804</f>
        <v>14652.1</v>
      </c>
      <c r="G2804" s="16"/>
      <c r="H2804" s="7">
        <v>190.65</v>
      </c>
      <c r="I2804" s="7">
        <v>206.85</v>
      </c>
      <c r="J2804" s="7">
        <v>178.9</v>
      </c>
      <c r="K2804" s="7">
        <v>197.5</v>
      </c>
      <c r="M2804" s="7">
        <v>161</v>
      </c>
      <c r="N2804" s="7">
        <v>188.9</v>
      </c>
      <c r="O2804" s="70"/>
      <c r="P2804" s="17"/>
      <c r="Q2804" s="7">
        <f>(U2804*T2804)-(R2804*S2804)</f>
        <v>-742.5</v>
      </c>
      <c r="R2804" s="109">
        <v>75</v>
      </c>
      <c r="S2804" s="7">
        <v>104.4</v>
      </c>
      <c r="T2804" s="18">
        <v>94.5</v>
      </c>
      <c r="U2804" s="109">
        <f>R2804</f>
        <v>75</v>
      </c>
      <c r="V2804" s="16"/>
      <c r="W2804" s="66">
        <v>0.47847222222222219</v>
      </c>
      <c r="X2804" s="7">
        <v>64.3</v>
      </c>
      <c r="Y2804" s="7">
        <v>113.55</v>
      </c>
      <c r="Z2804" s="66">
        <v>0.47847222222222219</v>
      </c>
    </row>
    <row r="2805" spans="2:26" x14ac:dyDescent="0.3">
      <c r="B2805" s="5">
        <f>B2806+50</f>
        <v>14750</v>
      </c>
      <c r="C2805" s="7">
        <v>157.69999999999999</v>
      </c>
      <c r="D2805" s="7">
        <v>127.65</v>
      </c>
      <c r="E2805" s="16"/>
      <c r="F2805" s="7">
        <f t="shared" si="234"/>
        <v>14622.35</v>
      </c>
      <c r="G2805" s="17"/>
      <c r="H2805" s="7">
        <v>165</v>
      </c>
      <c r="I2805" s="7">
        <v>180.1</v>
      </c>
      <c r="J2805" s="7">
        <v>155.55000000000001</v>
      </c>
      <c r="K2805" s="7">
        <v>171.4</v>
      </c>
      <c r="M2805" s="7">
        <v>139.35</v>
      </c>
      <c r="N2805" s="7">
        <v>163.4</v>
      </c>
      <c r="O2805" s="70"/>
      <c r="P2805" s="17"/>
      <c r="Q2805" s="7">
        <f>(U2805*T2805)-(R2805*S2805)</f>
        <v>-667.5</v>
      </c>
      <c r="R2805" s="109">
        <v>75</v>
      </c>
      <c r="S2805" s="7">
        <v>104.4</v>
      </c>
      <c r="T2805" s="18">
        <v>95.5</v>
      </c>
      <c r="U2805" s="109">
        <f>R2805</f>
        <v>75</v>
      </c>
      <c r="V2805" s="16"/>
      <c r="W2805" s="66">
        <v>0.4993055555555555</v>
      </c>
      <c r="X2805" s="7">
        <v>64.75</v>
      </c>
      <c r="Y2805" s="7">
        <v>108.3</v>
      </c>
      <c r="Z2805" s="66">
        <v>0.4993055555555555</v>
      </c>
    </row>
    <row r="2806" spans="2:26" x14ac:dyDescent="0.3">
      <c r="B2806" s="97">
        <v>14700</v>
      </c>
      <c r="C2806" s="7">
        <v>135.80000000000001</v>
      </c>
      <c r="D2806" s="7">
        <v>108.15</v>
      </c>
      <c r="E2806" s="16"/>
      <c r="F2806" s="7">
        <f t="shared" si="234"/>
        <v>14591.85</v>
      </c>
      <c r="G2806" s="17"/>
      <c r="H2806" s="7">
        <v>142.6</v>
      </c>
      <c r="I2806" s="7">
        <v>156</v>
      </c>
      <c r="J2806" s="7">
        <v>134</v>
      </c>
      <c r="K2806" s="7">
        <v>147.15</v>
      </c>
      <c r="M2806" s="7">
        <v>118.7</v>
      </c>
      <c r="N2806" s="7">
        <v>138.75</v>
      </c>
      <c r="O2806" s="70"/>
      <c r="P2806" s="17"/>
      <c r="Q2806" s="7">
        <f>(U2806*T2806)-(R2806*S2806)</f>
        <v>0</v>
      </c>
      <c r="R2806" s="109"/>
      <c r="S2806" s="18"/>
      <c r="T2806" s="18"/>
      <c r="U2806" s="109">
        <f>R2806</f>
        <v>0</v>
      </c>
      <c r="V2806" s="17"/>
      <c r="W2806" s="66">
        <v>0.52013888888888882</v>
      </c>
      <c r="X2806" s="7">
        <v>71.7</v>
      </c>
      <c r="Y2806" s="7">
        <v>90.15</v>
      </c>
      <c r="Z2806" s="66">
        <v>0.52013888888888882</v>
      </c>
    </row>
    <row r="2807" spans="2:26" x14ac:dyDescent="0.3">
      <c r="B2807" s="14">
        <f>B2806-50</f>
        <v>14650</v>
      </c>
      <c r="C2807" s="7">
        <v>117</v>
      </c>
      <c r="D2807" s="23">
        <v>91.9</v>
      </c>
      <c r="E2807" s="16"/>
      <c r="F2807" s="98">
        <f t="shared" si="234"/>
        <v>14558.1</v>
      </c>
      <c r="G2807" s="17"/>
      <c r="H2807" s="7">
        <v>122</v>
      </c>
      <c r="I2807" s="7">
        <v>136</v>
      </c>
      <c r="J2807" s="7">
        <v>114.6</v>
      </c>
      <c r="K2807" s="7">
        <v>125.7</v>
      </c>
      <c r="M2807" s="7">
        <v>100.65</v>
      </c>
      <c r="N2807" s="7">
        <v>118.3</v>
      </c>
      <c r="O2807" s="70"/>
      <c r="P2807" s="17"/>
      <c r="Q2807" s="7">
        <f>(U2807*T2807)-(R2807*S2807)</f>
        <v>0</v>
      </c>
      <c r="R2807" s="109"/>
      <c r="S2807" s="18"/>
      <c r="T2807" s="18"/>
      <c r="U2807" s="109">
        <f>R2807</f>
        <v>0</v>
      </c>
      <c r="V2807" s="17"/>
      <c r="W2807" s="66">
        <v>0.54097222222222219</v>
      </c>
      <c r="X2807" s="7">
        <v>69.150000000000006</v>
      </c>
      <c r="Y2807" s="7">
        <v>91.7</v>
      </c>
      <c r="Z2807" s="66">
        <v>0.54097222222222219</v>
      </c>
    </row>
    <row r="2808" spans="2:26" x14ac:dyDescent="0.3">
      <c r="B2808" s="99">
        <f>B2807-50</f>
        <v>14600</v>
      </c>
      <c r="C2808" s="51">
        <v>99.1</v>
      </c>
      <c r="D2808" s="7">
        <v>78.099999999999994</v>
      </c>
      <c r="E2808" s="16"/>
      <c r="F2808" s="7">
        <f t="shared" si="234"/>
        <v>14521.9</v>
      </c>
      <c r="G2808" s="16">
        <f>H2808-(H2805-H2806)</f>
        <v>82</v>
      </c>
      <c r="H2808" s="7">
        <v>104.4</v>
      </c>
      <c r="I2808" s="7">
        <v>117.05</v>
      </c>
      <c r="J2808" s="7">
        <v>99</v>
      </c>
      <c r="K2808" s="7">
        <v>106.8</v>
      </c>
      <c r="M2808" s="7">
        <v>86.25</v>
      </c>
      <c r="N2808" s="7">
        <v>100.3</v>
      </c>
      <c r="O2808" s="70"/>
      <c r="P2808" s="17"/>
      <c r="Q2808" s="7">
        <f>SUM(Q2804:Q2807)</f>
        <v>-1410</v>
      </c>
      <c r="R2808" s="7">
        <f>SUM(R2804:R2807)</f>
        <v>150</v>
      </c>
      <c r="S2808" s="109">
        <f>R2808-U2808</f>
        <v>0</v>
      </c>
      <c r="T2808" s="114" t="e">
        <f>Q2808/S2808</f>
        <v>#DIV/0!</v>
      </c>
      <c r="U2808" s="7">
        <f>SUM(U2804:U2807)</f>
        <v>150</v>
      </c>
      <c r="V2808" s="17"/>
      <c r="W2808" s="66">
        <v>6.1805555555555558E-2</v>
      </c>
      <c r="X2808" s="7">
        <v>69.3</v>
      </c>
      <c r="Y2808" s="7">
        <v>86.9</v>
      </c>
      <c r="Z2808" s="66">
        <v>6.1805555555555558E-2</v>
      </c>
    </row>
    <row r="2809" spans="2:26" x14ac:dyDescent="0.3">
      <c r="B2809" s="5">
        <f>B2808-50</f>
        <v>14550</v>
      </c>
      <c r="C2809" s="7">
        <v>84.5</v>
      </c>
      <c r="D2809" s="7">
        <v>65.55</v>
      </c>
      <c r="E2809" s="16"/>
      <c r="F2809" s="7">
        <f t="shared" si="234"/>
        <v>14484.45</v>
      </c>
      <c r="G2809" s="17">
        <v>81.45</v>
      </c>
      <c r="H2809" s="7">
        <v>88</v>
      </c>
      <c r="I2809" s="7">
        <v>101</v>
      </c>
      <c r="J2809" s="7">
        <v>84.05</v>
      </c>
      <c r="K2809" s="7">
        <v>89.3</v>
      </c>
      <c r="M2809" s="7">
        <v>72.900000000000006</v>
      </c>
      <c r="N2809" s="7">
        <v>85.6</v>
      </c>
      <c r="O2809" s="70"/>
      <c r="W2809" s="66">
        <v>8.2638888888888887E-2</v>
      </c>
      <c r="X2809" s="7">
        <v>63</v>
      </c>
      <c r="Y2809" s="7">
        <v>90.35</v>
      </c>
      <c r="Z2809" s="66">
        <v>8.2638888888888887E-2</v>
      </c>
    </row>
    <row r="2810" spans="2:26" x14ac:dyDescent="0.3">
      <c r="H2810" s="7"/>
      <c r="I2810" s="7"/>
      <c r="J2810" s="7"/>
      <c r="K2810" s="7"/>
      <c r="P2810" s="98">
        <f>Q2808</f>
        <v>-1410</v>
      </c>
      <c r="Q2810" s="92" t="s">
        <v>72</v>
      </c>
      <c r="R2810" s="17"/>
      <c r="T2810" s="92" t="s">
        <v>73</v>
      </c>
      <c r="U2810" s="7">
        <f>((X2802+Y2802)-(X2810+Y2810))</f>
        <v>12.299999999999983</v>
      </c>
      <c r="V2810" s="98">
        <f>U2810*150</f>
        <v>1844.9999999999975</v>
      </c>
      <c r="W2810" s="66">
        <v>0.13541666666666666</v>
      </c>
      <c r="X2810" s="7">
        <v>52.7</v>
      </c>
      <c r="Y2810" s="23">
        <v>112.9</v>
      </c>
      <c r="Z2810" s="66">
        <v>0.4368055555555555</v>
      </c>
    </row>
    <row r="2820" spans="2:26" x14ac:dyDescent="0.3">
      <c r="B2820" s="40"/>
      <c r="C2820" s="50">
        <f>AVERAGE(B2821,D2820)</f>
        <v>14773.8</v>
      </c>
      <c r="D2820" s="51">
        <f>B2821+E2821</f>
        <v>14823.8</v>
      </c>
      <c r="E2820" s="50">
        <f>AVERAGE(D2820,F2820)</f>
        <v>14873.8</v>
      </c>
      <c r="F2820" s="50">
        <f>D2820+E2821</f>
        <v>14923.8</v>
      </c>
      <c r="G2820" s="17"/>
      <c r="H2820" s="88" t="str">
        <f>IF((C2829-D2829)&gt;(C2840-D2840),"LONG",IF(C2840&gt;D2838,"LONG","SHORT"))</f>
        <v>LONG</v>
      </c>
      <c r="I2820" s="104">
        <v>14636</v>
      </c>
      <c r="J2820" s="120" t="s">
        <v>122</v>
      </c>
      <c r="K2820" s="106">
        <v>14741</v>
      </c>
      <c r="L2820" s="17"/>
      <c r="N2820" s="17"/>
      <c r="O2820" s="17"/>
      <c r="U2820" s="17"/>
      <c r="V2820" s="17"/>
    </row>
    <row r="2821" spans="2:26" x14ac:dyDescent="0.3">
      <c r="B2821" s="50">
        <v>14723.8</v>
      </c>
      <c r="C2821" s="40"/>
      <c r="D2821" s="58"/>
      <c r="E2821" s="59">
        <f>ROUND((((B2821*F2821%)/4)/10),0)*10</f>
        <v>100</v>
      </c>
      <c r="F2821" s="51">
        <f>(100/B2821)*(F2830-F2841)</f>
        <v>2.6650728752088431</v>
      </c>
      <c r="G2821" s="17"/>
      <c r="H2821" s="93">
        <v>0.39166666666666666</v>
      </c>
      <c r="I2821" s="93">
        <v>0.39861111111111108</v>
      </c>
      <c r="J2821" s="93">
        <v>0.4055555555555555</v>
      </c>
      <c r="K2821" s="93">
        <v>0.41250000000000003</v>
      </c>
      <c r="M2821" s="50">
        <v>1400</v>
      </c>
      <c r="N2821" s="17"/>
      <c r="O2821" s="17"/>
      <c r="U2821" s="17"/>
      <c r="V2821" s="17"/>
      <c r="W2821" s="90" t="s">
        <v>68</v>
      </c>
      <c r="X2821" s="119" t="s">
        <v>69</v>
      </c>
      <c r="Y2821" s="92" t="s">
        <v>70</v>
      </c>
      <c r="Z2821" s="90" t="s">
        <v>68</v>
      </c>
    </row>
    <row r="2822" spans="2:26" x14ac:dyDescent="0.3">
      <c r="B2822" s="40"/>
      <c r="C2822" s="50">
        <f>AVERAGE(B2821,D2822)</f>
        <v>14673.8</v>
      </c>
      <c r="D2822" s="51">
        <f>B2821-E2821</f>
        <v>14623.8</v>
      </c>
      <c r="E2822" s="50">
        <f>AVERAGE(D2822,F2822)</f>
        <v>14573.8</v>
      </c>
      <c r="F2822" s="50">
        <f>D2822-E2821</f>
        <v>14523.8</v>
      </c>
      <c r="G2822" s="17"/>
      <c r="H2822" s="51">
        <v>14672.95</v>
      </c>
      <c r="I2822" s="51">
        <v>14650</v>
      </c>
      <c r="J2822" s="51">
        <v>14689</v>
      </c>
      <c r="K2822" s="51">
        <v>14729.75</v>
      </c>
      <c r="L2822" s="17"/>
      <c r="N2822" s="17"/>
      <c r="O2822" s="17"/>
      <c r="U2822" s="17"/>
      <c r="V2822" s="17"/>
      <c r="W2822" s="66">
        <v>0.41597222222222219</v>
      </c>
      <c r="X2822" s="7">
        <v>111.75</v>
      </c>
      <c r="Y2822" s="7">
        <v>127.45</v>
      </c>
      <c r="Z2822" s="66">
        <v>0.41597222222222219</v>
      </c>
    </row>
    <row r="2823" spans="2:26" x14ac:dyDescent="0.3">
      <c r="B2823" s="17"/>
      <c r="C2823" s="17"/>
      <c r="D2823" s="17"/>
      <c r="E2823" s="17"/>
      <c r="F2823" s="16"/>
      <c r="G2823" s="16"/>
      <c r="H2823" s="17"/>
      <c r="I2823" s="17"/>
      <c r="J2823" s="17"/>
      <c r="K2823" s="16"/>
      <c r="L2823" s="17"/>
      <c r="M2823" s="17"/>
      <c r="N2823" s="17"/>
      <c r="O2823" s="17"/>
      <c r="U2823" s="17"/>
      <c r="V2823" s="17"/>
      <c r="W2823" s="66">
        <v>0.4368055555555555</v>
      </c>
      <c r="X2823" s="7">
        <v>106</v>
      </c>
      <c r="Y2823" s="7">
        <v>130.9</v>
      </c>
      <c r="Z2823" s="66">
        <v>0.4368055555555555</v>
      </c>
    </row>
    <row r="2824" spans="2:26" x14ac:dyDescent="0.3">
      <c r="B2824" s="16"/>
      <c r="C2824" s="17"/>
      <c r="D2824" s="17"/>
      <c r="E2824" s="17"/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U2824" s="17"/>
      <c r="V2824" s="17"/>
      <c r="W2824" s="66">
        <v>0.45763888888888887</v>
      </c>
      <c r="X2824" s="7">
        <v>103.55</v>
      </c>
      <c r="Y2824" s="7">
        <v>134.5</v>
      </c>
      <c r="Z2824" s="66">
        <v>0.45763888888888887</v>
      </c>
    </row>
    <row r="2825" spans="2:26" x14ac:dyDescent="0.3">
      <c r="B2825" s="16"/>
      <c r="C2825" s="95">
        <v>44330</v>
      </c>
      <c r="D2825" s="17"/>
      <c r="E2825" s="17"/>
      <c r="F2825" s="7">
        <f>AVERAGE(F2827,F2838)</f>
        <v>14706.25</v>
      </c>
      <c r="G2825" s="96"/>
      <c r="H2825" s="66">
        <v>0.42638888888888887</v>
      </c>
      <c r="I2825" s="66">
        <v>0.48958333333333331</v>
      </c>
      <c r="J2825" s="66">
        <v>8.1944444444444445E-2</v>
      </c>
      <c r="K2825" s="66">
        <v>0.13541666666666666</v>
      </c>
      <c r="M2825" s="66">
        <v>0.4861111111111111</v>
      </c>
      <c r="N2825" s="66"/>
      <c r="O2825" s="68"/>
      <c r="Q2825" s="17"/>
      <c r="R2825" s="17"/>
      <c r="S2825" s="17"/>
      <c r="T2825" s="17"/>
      <c r="U2825" s="17"/>
      <c r="V2825" s="17"/>
      <c r="W2825" s="66">
        <v>0.47847222222222219</v>
      </c>
      <c r="X2825" s="7">
        <v>102.8</v>
      </c>
      <c r="Y2825" s="7">
        <v>132.25</v>
      </c>
      <c r="Z2825" s="66">
        <v>0.47847222222222219</v>
      </c>
    </row>
    <row r="2826" spans="2:26" x14ac:dyDescent="0.3">
      <c r="B2826" s="90" t="s">
        <v>68</v>
      </c>
      <c r="C2826" s="66">
        <v>0.41666666666666669</v>
      </c>
      <c r="D2826" s="66">
        <v>0.39930555555555558</v>
      </c>
      <c r="E2826" s="17"/>
      <c r="F2826" s="17"/>
      <c r="G2826" s="17"/>
      <c r="H2826" s="7">
        <v>14712</v>
      </c>
      <c r="I2826" s="7">
        <v>14662.2</v>
      </c>
      <c r="J2826" s="7">
        <v>14676.05</v>
      </c>
      <c r="K2826" s="7">
        <v>14712.4</v>
      </c>
      <c r="M2826" s="23">
        <v>38.450000000000003</v>
      </c>
      <c r="N2826" s="7"/>
      <c r="O2826" s="70"/>
      <c r="U2826" s="17"/>
      <c r="V2826" s="17"/>
      <c r="W2826" s="66">
        <v>0.4993055555555555</v>
      </c>
      <c r="X2826" s="7">
        <v>85.85</v>
      </c>
      <c r="Y2826" s="7">
        <v>168.5</v>
      </c>
      <c r="Z2826" s="66">
        <v>0.4993055555555555</v>
      </c>
    </row>
    <row r="2827" spans="2:26" x14ac:dyDescent="0.3">
      <c r="B2827" s="5">
        <f>B2828-50</f>
        <v>14700</v>
      </c>
      <c r="C2827" s="7">
        <v>137.5</v>
      </c>
      <c r="D2827" s="7">
        <v>111.05</v>
      </c>
      <c r="E2827" s="16"/>
      <c r="F2827" s="7">
        <f t="shared" ref="F2827:F2832" si="235">B2827+D2827</f>
        <v>14811.05</v>
      </c>
      <c r="G2827" s="17"/>
      <c r="H2827" s="7">
        <v>130.19999999999999</v>
      </c>
      <c r="I2827" s="7">
        <v>111.45</v>
      </c>
      <c r="J2827" s="7">
        <v>110.25</v>
      </c>
      <c r="K2827" s="7">
        <v>120.8</v>
      </c>
      <c r="M2827" s="7">
        <v>110.9</v>
      </c>
      <c r="N2827" s="7"/>
      <c r="O2827" s="70"/>
      <c r="Q2827" s="150" t="s">
        <v>129</v>
      </c>
      <c r="R2827" s="151"/>
      <c r="S2827" s="151"/>
      <c r="T2827" s="151"/>
      <c r="V2827" s="17"/>
      <c r="W2827" s="66">
        <v>0.52013888888888882</v>
      </c>
      <c r="X2827" s="7">
        <v>85.75</v>
      </c>
      <c r="Y2827" s="7">
        <v>160</v>
      </c>
      <c r="Z2827" s="66">
        <v>0.52013888888888882</v>
      </c>
    </row>
    <row r="2828" spans="2:26" x14ac:dyDescent="0.3">
      <c r="B2828" s="5">
        <f>B2829-50</f>
        <v>14750</v>
      </c>
      <c r="C2828" s="7">
        <v>111.75</v>
      </c>
      <c r="D2828" s="7">
        <v>90</v>
      </c>
      <c r="E2828" s="16"/>
      <c r="F2828" s="7">
        <f t="shared" si="235"/>
        <v>14840</v>
      </c>
      <c r="G2828" s="17"/>
      <c r="H2828" s="7">
        <v>105.45</v>
      </c>
      <c r="I2828" s="7">
        <v>89.8</v>
      </c>
      <c r="J2828" s="7">
        <v>87.65</v>
      </c>
      <c r="K2828" s="7">
        <v>95.65</v>
      </c>
      <c r="M2828" s="7">
        <v>88.95</v>
      </c>
      <c r="N2828" s="7"/>
      <c r="O2828" s="70"/>
      <c r="P2828" s="17"/>
      <c r="Q2828" s="159">
        <v>44322</v>
      </c>
      <c r="R2828" s="161">
        <v>14657.2</v>
      </c>
      <c r="S2828" s="161">
        <v>14763</v>
      </c>
      <c r="T2828" s="159">
        <v>44328</v>
      </c>
      <c r="V2828" s="17"/>
      <c r="W2828" s="66">
        <v>0.54097222222222219</v>
      </c>
      <c r="X2828" s="7">
        <v>90</v>
      </c>
      <c r="Y2828" s="7">
        <v>149.30000000000001</v>
      </c>
      <c r="Z2828" s="66">
        <v>0.54097222222222219</v>
      </c>
    </row>
    <row r="2829" spans="2:26" x14ac:dyDescent="0.3">
      <c r="B2829" s="97">
        <v>14800</v>
      </c>
      <c r="C2829" s="7">
        <v>88.45</v>
      </c>
      <c r="D2829" s="7">
        <v>71.5</v>
      </c>
      <c r="E2829" s="16"/>
      <c r="F2829" s="7">
        <f t="shared" si="235"/>
        <v>14871.5</v>
      </c>
      <c r="G2829" s="17"/>
      <c r="H2829" s="7">
        <v>83.4</v>
      </c>
      <c r="I2829" s="7">
        <v>70.3</v>
      </c>
      <c r="J2829" s="7">
        <v>68.05</v>
      </c>
      <c r="K2829" s="7">
        <v>74.400000000000006</v>
      </c>
      <c r="M2829" s="7">
        <v>69.5</v>
      </c>
      <c r="N2829" s="7"/>
      <c r="O2829" s="70"/>
      <c r="P2829" s="17"/>
      <c r="Q2829" s="159">
        <v>44328</v>
      </c>
      <c r="R2829" s="161">
        <v>14708</v>
      </c>
      <c r="S2829" s="161">
        <v>14767.2</v>
      </c>
      <c r="T2829" s="159">
        <v>44322</v>
      </c>
      <c r="V2829" s="17"/>
      <c r="W2829" s="66">
        <v>6.1805555555555558E-2</v>
      </c>
      <c r="X2829" s="7">
        <v>95.8</v>
      </c>
      <c r="Y2829" s="7">
        <v>137.5</v>
      </c>
      <c r="Z2829" s="66">
        <v>6.1805555555555558E-2</v>
      </c>
    </row>
    <row r="2830" spans="2:26" x14ac:dyDescent="0.3">
      <c r="B2830" s="5">
        <f>B2829+50</f>
        <v>14850</v>
      </c>
      <c r="C2830" s="7">
        <v>68.849999999999994</v>
      </c>
      <c r="D2830" s="7">
        <v>56</v>
      </c>
      <c r="E2830" s="16"/>
      <c r="F2830" s="98">
        <f t="shared" si="235"/>
        <v>14906</v>
      </c>
      <c r="G2830" s="17"/>
      <c r="H2830" s="7">
        <v>64.099999999999994</v>
      </c>
      <c r="I2830" s="7">
        <v>53.5</v>
      </c>
      <c r="J2830" s="7">
        <v>51.45</v>
      </c>
      <c r="K2830" s="7">
        <v>56.1</v>
      </c>
      <c r="M2830" s="7">
        <v>52.7</v>
      </c>
      <c r="N2830" s="7"/>
      <c r="O2830" s="70"/>
      <c r="P2830" s="17"/>
      <c r="Q2830" s="159">
        <v>44323</v>
      </c>
      <c r="R2830" s="161">
        <v>14825.85</v>
      </c>
      <c r="S2830" s="161">
        <v>14875.85</v>
      </c>
      <c r="T2830" s="159">
        <v>44323</v>
      </c>
      <c r="V2830" s="17"/>
      <c r="W2830" s="66">
        <v>8.2638888888888887E-2</v>
      </c>
      <c r="X2830" s="7">
        <v>81.95</v>
      </c>
      <c r="Y2830" s="7">
        <v>159.5</v>
      </c>
      <c r="Z2830" s="66">
        <v>8.2638888888888887E-2</v>
      </c>
    </row>
    <row r="2831" spans="2:26" x14ac:dyDescent="0.3">
      <c r="B2831" s="99">
        <f>B2830+50</f>
        <v>14900</v>
      </c>
      <c r="C2831" s="51">
        <v>51.65</v>
      </c>
      <c r="D2831" s="7">
        <v>42.75</v>
      </c>
      <c r="E2831" s="16"/>
      <c r="F2831" s="7">
        <f t="shared" si="235"/>
        <v>14942.75</v>
      </c>
      <c r="G2831" s="17"/>
      <c r="H2831" s="7">
        <v>48.15</v>
      </c>
      <c r="I2831" s="7">
        <v>40</v>
      </c>
      <c r="J2831" s="7">
        <v>37.950000000000003</v>
      </c>
      <c r="K2831" s="7">
        <v>41.2</v>
      </c>
      <c r="M2831" s="7">
        <v>39.25</v>
      </c>
      <c r="N2831" s="7"/>
      <c r="O2831" s="70"/>
      <c r="P2831" s="17"/>
      <c r="Q2831" s="159">
        <v>44327</v>
      </c>
      <c r="R2831" s="161">
        <v>14843.5</v>
      </c>
      <c r="S2831" s="161">
        <v>14933.5</v>
      </c>
      <c r="T2831" s="159">
        <v>44327</v>
      </c>
      <c r="V2831" s="17"/>
    </row>
    <row r="2832" spans="2:26" x14ac:dyDescent="0.3">
      <c r="B2832" s="5">
        <f>B2831+50</f>
        <v>14950</v>
      </c>
      <c r="C2832" s="7">
        <v>38.450000000000003</v>
      </c>
      <c r="D2832" s="7">
        <v>32.25</v>
      </c>
      <c r="E2832" s="16">
        <f>E2833-(F2833-E2833)</f>
        <v>36.400000000000006</v>
      </c>
      <c r="F2832" s="7">
        <f t="shared" si="235"/>
        <v>14982.25</v>
      </c>
      <c r="G2832" s="16"/>
      <c r="H2832" s="7">
        <v>35.5</v>
      </c>
      <c r="I2832" s="7">
        <v>29.35</v>
      </c>
      <c r="J2832" s="7">
        <v>27.9</v>
      </c>
      <c r="K2832" s="7">
        <v>29.75</v>
      </c>
      <c r="M2832" s="7">
        <v>28.7</v>
      </c>
      <c r="N2832" s="7"/>
      <c r="O2832" s="70"/>
      <c r="P2832" s="17"/>
      <c r="Q2832" s="159">
        <v>44326</v>
      </c>
      <c r="R2832" s="161">
        <v>14943.1</v>
      </c>
      <c r="S2832" s="161">
        <v>15023.1</v>
      </c>
      <c r="T2832" s="159">
        <v>44326</v>
      </c>
      <c r="V2832" s="17"/>
    </row>
    <row r="2833" spans="2:26" x14ac:dyDescent="0.3">
      <c r="B2833" s="17"/>
      <c r="C2833" s="16"/>
      <c r="D2833" s="16"/>
      <c r="E2833" s="16">
        <f>F2833-(G2833-F2833)</f>
        <v>53.775000000000006</v>
      </c>
      <c r="F2833" s="16">
        <f>AVERAGE(C2830,C2842)</f>
        <v>71.150000000000006</v>
      </c>
      <c r="G2833" s="16">
        <f>AVERAGE(C2829,C2841)</f>
        <v>88.525000000000006</v>
      </c>
      <c r="H2833" s="7"/>
      <c r="I2833" s="7"/>
      <c r="J2833" s="7"/>
      <c r="K2833" s="7"/>
      <c r="P2833" s="17"/>
      <c r="V2833" s="16"/>
    </row>
    <row r="2834" spans="2:26" x14ac:dyDescent="0.3">
      <c r="B2834" s="17"/>
      <c r="C2834" s="17"/>
      <c r="D2834" s="16"/>
      <c r="E2834" s="16"/>
      <c r="F2834" s="16"/>
      <c r="G2834" s="16"/>
      <c r="K2834" s="17"/>
      <c r="P2834" s="17"/>
      <c r="Q2834" s="17"/>
      <c r="R2834" s="17"/>
      <c r="S2834" s="17"/>
      <c r="T2834" s="17"/>
      <c r="U2834" s="16"/>
      <c r="V2834" s="16"/>
      <c r="W2834" s="90" t="s">
        <v>68</v>
      </c>
      <c r="X2834" s="119" t="s">
        <v>69</v>
      </c>
      <c r="Y2834" s="92" t="s">
        <v>70</v>
      </c>
      <c r="Z2834" s="90" t="s">
        <v>68</v>
      </c>
    </row>
    <row r="2835" spans="2:26" x14ac:dyDescent="0.3">
      <c r="B2835" s="17"/>
      <c r="C2835" s="17"/>
      <c r="D2835" s="16"/>
      <c r="E2835" s="16"/>
      <c r="F2835" s="16"/>
      <c r="G2835" s="16"/>
      <c r="H2835" s="101"/>
      <c r="I2835" s="101"/>
      <c r="J2835" s="101"/>
      <c r="K2835" s="101"/>
      <c r="M2835" s="101"/>
      <c r="N2835" s="101"/>
      <c r="O2835" s="101"/>
      <c r="P2835" s="17"/>
      <c r="Q2835" s="17"/>
      <c r="R2835" s="17"/>
      <c r="S2835" s="17"/>
      <c r="T2835" s="17"/>
      <c r="U2835" s="16"/>
      <c r="V2835" s="16"/>
      <c r="W2835" s="66">
        <v>0.41597222222222219</v>
      </c>
      <c r="X2835" s="7">
        <v>51.65</v>
      </c>
      <c r="Y2835" s="7">
        <v>73.45</v>
      </c>
      <c r="Z2835" s="66">
        <v>0.41597222222222219</v>
      </c>
    </row>
    <row r="2836" spans="2:26" x14ac:dyDescent="0.3">
      <c r="B2836" s="16"/>
      <c r="C2836" s="95">
        <v>44336</v>
      </c>
      <c r="D2836" s="17"/>
      <c r="F2836" s="16"/>
      <c r="H2836" s="66">
        <v>0.42638888888888887</v>
      </c>
      <c r="I2836" s="117" t="s">
        <v>135</v>
      </c>
      <c r="J2836" s="117" t="s">
        <v>136</v>
      </c>
      <c r="K2836" s="66">
        <v>0.13541666666666666</v>
      </c>
      <c r="M2836" s="66">
        <v>0.4861111111111111</v>
      </c>
      <c r="N2836" s="66"/>
      <c r="O2836" s="68"/>
      <c r="P2836" s="17"/>
      <c r="Q2836" s="150" t="s">
        <v>72</v>
      </c>
      <c r="R2836" s="151"/>
      <c r="S2836" s="151"/>
      <c r="T2836" s="151"/>
      <c r="U2836" s="152"/>
      <c r="V2836" s="17"/>
      <c r="W2836" s="66">
        <v>0.4368055555555555</v>
      </c>
      <c r="X2836" s="7">
        <v>48.6</v>
      </c>
      <c r="Y2836" s="7">
        <v>75</v>
      </c>
      <c r="Z2836" s="66">
        <v>0.4368055555555555</v>
      </c>
    </row>
    <row r="2837" spans="2:26" x14ac:dyDescent="0.3">
      <c r="B2837" s="90" t="s">
        <v>68</v>
      </c>
      <c r="C2837" s="66">
        <v>0.41666666666666669</v>
      </c>
      <c r="D2837" s="66">
        <v>0.38750000000000001</v>
      </c>
      <c r="E2837" s="16">
        <f>F2837-(G2837-F2837)</f>
        <v>59.799999999999983</v>
      </c>
      <c r="F2837" s="16">
        <f>AVERAGE(C2841,C2830)</f>
        <v>78.724999999999994</v>
      </c>
      <c r="G2837" s="16">
        <f>AVERAGE(C2840,C2829)</f>
        <v>97.65</v>
      </c>
      <c r="H2837" s="23">
        <v>78.7</v>
      </c>
      <c r="I2837" s="23">
        <v>97.65</v>
      </c>
      <c r="J2837" s="23">
        <v>86.2</v>
      </c>
      <c r="K2837" s="7">
        <v>14712.4</v>
      </c>
      <c r="M2837" s="7">
        <v>14666.1</v>
      </c>
      <c r="N2837" s="7"/>
      <c r="O2837" s="70"/>
      <c r="P2837" s="17"/>
      <c r="Q2837" s="34"/>
      <c r="R2837" s="34" t="s">
        <v>111</v>
      </c>
      <c r="S2837" s="34" t="s">
        <v>2</v>
      </c>
      <c r="T2837" s="34" t="s">
        <v>1</v>
      </c>
      <c r="U2837" s="34" t="s">
        <v>111</v>
      </c>
      <c r="V2837" s="17"/>
      <c r="W2837" s="66">
        <v>0.45763888888888887</v>
      </c>
      <c r="X2837" s="7">
        <v>47.4</v>
      </c>
      <c r="Y2837" s="7">
        <v>77.55</v>
      </c>
      <c r="Z2837" s="66">
        <v>0.45763888888888887</v>
      </c>
    </row>
    <row r="2838" spans="2:26" x14ac:dyDescent="0.3">
      <c r="B2838" s="5">
        <f>B2839+50</f>
        <v>14750</v>
      </c>
      <c r="C2838" s="7">
        <v>151.55000000000001</v>
      </c>
      <c r="D2838" s="7">
        <v>148.55000000000001</v>
      </c>
      <c r="E2838" s="16">
        <f>E2837-(F2837-E2837)</f>
        <v>40.874999999999972</v>
      </c>
      <c r="F2838" s="7">
        <f t="shared" ref="F2838:F2843" si="236">B2838-D2838</f>
        <v>14601.45</v>
      </c>
      <c r="G2838" s="16"/>
      <c r="H2838" s="7">
        <v>157.69999999999999</v>
      </c>
      <c r="I2838" s="7">
        <v>191.75</v>
      </c>
      <c r="J2838" s="7">
        <v>179.45</v>
      </c>
      <c r="K2838" s="7">
        <v>158.25</v>
      </c>
      <c r="M2838" s="7">
        <v>186.85</v>
      </c>
      <c r="N2838" s="7"/>
      <c r="O2838" s="70"/>
      <c r="P2838" s="16"/>
      <c r="Q2838" s="7">
        <f>(U2838*T2838)-(R2838*S2838)</f>
        <v>1496.25</v>
      </c>
      <c r="R2838" s="109">
        <v>75</v>
      </c>
      <c r="S2838" s="7">
        <v>77.7</v>
      </c>
      <c r="T2838" s="18">
        <v>97.65</v>
      </c>
      <c r="U2838" s="109">
        <f>R2838</f>
        <v>75</v>
      </c>
      <c r="V2838" s="16"/>
      <c r="W2838" s="66">
        <v>0.47847222222222219</v>
      </c>
      <c r="X2838" s="7">
        <v>46.25</v>
      </c>
      <c r="Y2838" s="7">
        <v>75.25</v>
      </c>
      <c r="Z2838" s="66">
        <v>0.47847222222222219</v>
      </c>
    </row>
    <row r="2839" spans="2:26" x14ac:dyDescent="0.3">
      <c r="B2839" s="5">
        <f>B2840+50</f>
        <v>14700</v>
      </c>
      <c r="C2839" s="7">
        <v>127.45</v>
      </c>
      <c r="D2839" s="7">
        <v>124.75</v>
      </c>
      <c r="E2839" s="16"/>
      <c r="F2839" s="7">
        <f t="shared" si="236"/>
        <v>14575.25</v>
      </c>
      <c r="G2839" s="16"/>
      <c r="H2839" s="7">
        <v>133.19999999999999</v>
      </c>
      <c r="I2839" s="7">
        <v>163.4</v>
      </c>
      <c r="J2839" s="7">
        <v>151.94999999999999</v>
      </c>
      <c r="K2839" s="7">
        <v>132.5</v>
      </c>
      <c r="M2839" s="7">
        <v>159.44999999999999</v>
      </c>
      <c r="N2839" s="7"/>
      <c r="O2839" s="70"/>
      <c r="P2839" s="17"/>
      <c r="Q2839" s="7">
        <f>(U2839*T2839)-(R2839*S2839)</f>
        <v>637.5</v>
      </c>
      <c r="R2839" s="109">
        <v>75</v>
      </c>
      <c r="S2839" s="7">
        <v>77.7</v>
      </c>
      <c r="T2839" s="18">
        <v>86.2</v>
      </c>
      <c r="U2839" s="109">
        <f>R2839</f>
        <v>75</v>
      </c>
      <c r="V2839" s="16"/>
      <c r="W2839" s="66">
        <v>0.4993055555555555</v>
      </c>
      <c r="X2839" s="7">
        <v>38.25</v>
      </c>
      <c r="Y2839" s="7">
        <v>100.95</v>
      </c>
      <c r="Z2839" s="66">
        <v>0.4993055555555555</v>
      </c>
    </row>
    <row r="2840" spans="2:26" x14ac:dyDescent="0.3">
      <c r="B2840" s="97">
        <v>14650</v>
      </c>
      <c r="C2840" s="7">
        <v>106.85</v>
      </c>
      <c r="D2840" s="7">
        <v>104.15</v>
      </c>
      <c r="E2840" s="16"/>
      <c r="F2840" s="7">
        <f t="shared" si="236"/>
        <v>14545.85</v>
      </c>
      <c r="G2840" s="76"/>
      <c r="H2840" s="7">
        <v>112.25</v>
      </c>
      <c r="I2840" s="7">
        <v>138.05000000000001</v>
      </c>
      <c r="J2840" s="7">
        <v>127.3</v>
      </c>
      <c r="K2840" s="7">
        <v>110.75</v>
      </c>
      <c r="M2840" s="7">
        <v>134.05000000000001</v>
      </c>
      <c r="N2840" s="7"/>
      <c r="O2840" s="70"/>
      <c r="P2840" s="17"/>
      <c r="Q2840" s="7">
        <f>(U2840*T2840)-(R2840*S2840)</f>
        <v>0</v>
      </c>
      <c r="R2840" s="109"/>
      <c r="S2840" s="18"/>
      <c r="T2840" s="18"/>
      <c r="U2840" s="109">
        <f>R2840</f>
        <v>0</v>
      </c>
      <c r="V2840" s="17"/>
      <c r="W2840" s="66">
        <v>0.52013888888888882</v>
      </c>
      <c r="X2840" s="7">
        <v>38.200000000000003</v>
      </c>
      <c r="Y2840" s="7">
        <v>93.5</v>
      </c>
      <c r="Z2840" s="66">
        <v>0.52013888888888882</v>
      </c>
    </row>
    <row r="2841" spans="2:26" x14ac:dyDescent="0.3">
      <c r="B2841" s="14">
        <f>B2840-50</f>
        <v>14600</v>
      </c>
      <c r="C2841" s="7">
        <v>88.6</v>
      </c>
      <c r="D2841" s="7">
        <v>86.4</v>
      </c>
      <c r="E2841" s="16"/>
      <c r="F2841" s="98">
        <f t="shared" si="236"/>
        <v>14513.6</v>
      </c>
      <c r="G2841" s="16"/>
      <c r="H2841" s="7">
        <v>93.5</v>
      </c>
      <c r="I2841" s="7">
        <v>116.35</v>
      </c>
      <c r="J2841" s="7">
        <v>106.4</v>
      </c>
      <c r="K2841" s="7">
        <v>91.2</v>
      </c>
      <c r="L2841" s="40"/>
      <c r="M2841" s="7">
        <v>112.55</v>
      </c>
      <c r="N2841" s="7"/>
      <c r="O2841" s="70"/>
      <c r="P2841" s="17"/>
      <c r="Q2841" s="7">
        <f>(U2841*T2841)-(R2841*S2841)</f>
        <v>0</v>
      </c>
      <c r="R2841" s="109"/>
      <c r="S2841" s="18"/>
      <c r="T2841" s="18"/>
      <c r="U2841" s="109">
        <f>R2841</f>
        <v>0</v>
      </c>
      <c r="V2841" s="17"/>
      <c r="W2841" s="66">
        <v>0.54097222222222219</v>
      </c>
      <c r="X2841" s="7">
        <v>40</v>
      </c>
      <c r="Y2841" s="7">
        <v>85.55</v>
      </c>
      <c r="Z2841" s="66">
        <v>0.54097222222222219</v>
      </c>
    </row>
    <row r="2842" spans="2:26" x14ac:dyDescent="0.3">
      <c r="B2842" s="99">
        <f>B2841-50</f>
        <v>14550</v>
      </c>
      <c r="C2842" s="51">
        <v>73.45</v>
      </c>
      <c r="D2842" s="7">
        <v>71.349999999999994</v>
      </c>
      <c r="E2842" s="16"/>
      <c r="F2842" s="7">
        <f t="shared" si="236"/>
        <v>14478.65</v>
      </c>
      <c r="G2842" s="16">
        <v>67.099999999999994</v>
      </c>
      <c r="H2842" s="7">
        <v>77.7</v>
      </c>
      <c r="I2842" s="7">
        <v>97.5</v>
      </c>
      <c r="J2842" s="7">
        <v>87.25</v>
      </c>
      <c r="K2842" s="7">
        <v>74.7</v>
      </c>
      <c r="M2842" s="7">
        <v>93.65</v>
      </c>
      <c r="N2842" s="7"/>
      <c r="O2842" s="70"/>
      <c r="P2842" s="17"/>
      <c r="Q2842" s="7">
        <f>SUM(Q2838:Q2841)</f>
        <v>2133.75</v>
      </c>
      <c r="R2842" s="7">
        <f>SUM(R2838:R2841)</f>
        <v>150</v>
      </c>
      <c r="S2842" s="109">
        <f>R2842-U2842</f>
        <v>0</v>
      </c>
      <c r="T2842" s="114" t="e">
        <f>Q2842/S2842</f>
        <v>#DIV/0!</v>
      </c>
      <c r="U2842" s="7">
        <f>SUM(U2838:U2841)</f>
        <v>150</v>
      </c>
      <c r="V2842" s="17"/>
      <c r="W2842" s="66">
        <v>6.1805555555555558E-2</v>
      </c>
      <c r="X2842" s="7">
        <v>42.05</v>
      </c>
      <c r="Y2842" s="7">
        <v>77.45</v>
      </c>
      <c r="Z2842" s="66">
        <v>6.1805555555555558E-2</v>
      </c>
    </row>
    <row r="2843" spans="2:26" x14ac:dyDescent="0.3">
      <c r="B2843" s="5">
        <f>B2842-50</f>
        <v>14500</v>
      </c>
      <c r="C2843" s="7">
        <v>60.15</v>
      </c>
      <c r="D2843" s="7">
        <v>58.25</v>
      </c>
      <c r="E2843" s="16"/>
      <c r="F2843" s="7">
        <f t="shared" si="236"/>
        <v>14441.75</v>
      </c>
      <c r="G2843" s="16">
        <v>55</v>
      </c>
      <c r="H2843" s="7">
        <v>63.95</v>
      </c>
      <c r="I2843" s="7">
        <v>80.900000000000006</v>
      </c>
      <c r="J2843" s="7">
        <v>71.05</v>
      </c>
      <c r="K2843" s="7">
        <v>60.75</v>
      </c>
      <c r="M2843" s="7">
        <v>77.25</v>
      </c>
      <c r="N2843" s="7"/>
      <c r="O2843" s="70"/>
      <c r="W2843" s="66">
        <v>8.2638888888888887E-2</v>
      </c>
      <c r="X2843" s="7">
        <v>35.15</v>
      </c>
      <c r="Y2843" s="7">
        <v>92.75</v>
      </c>
      <c r="Z2843" s="66">
        <v>8.2638888888888887E-2</v>
      </c>
    </row>
    <row r="2844" spans="2:26" x14ac:dyDescent="0.3">
      <c r="H2844" s="7"/>
      <c r="I2844" s="7"/>
      <c r="J2844" s="7"/>
      <c r="K2844" s="7"/>
      <c r="P2844" s="98">
        <f>Q2842</f>
        <v>2133.75</v>
      </c>
      <c r="Q2844" s="92" t="s">
        <v>72</v>
      </c>
      <c r="R2844" s="17"/>
      <c r="T2844" s="92" t="s">
        <v>73</v>
      </c>
      <c r="U2844" s="7">
        <f>((X2836+Y2836)-(X2844+Y2844))</f>
        <v>13.099999999999994</v>
      </c>
      <c r="V2844" s="98">
        <f>U2844*150</f>
        <v>1964.9999999999991</v>
      </c>
      <c r="W2844" s="66">
        <v>0.13541666666666666</v>
      </c>
      <c r="X2844" s="7">
        <v>35.5</v>
      </c>
      <c r="Y2844" s="23">
        <v>75</v>
      </c>
      <c r="Z2844" s="66">
        <v>0.4368055555555555</v>
      </c>
    </row>
    <row r="2854" spans="2:26" x14ac:dyDescent="0.3">
      <c r="B2854" s="40"/>
      <c r="C2854" s="50">
        <f>AVERAGE(B2855,D2854)</f>
        <v>14831</v>
      </c>
      <c r="D2854" s="51">
        <f>B2855+E2855</f>
        <v>14871</v>
      </c>
      <c r="E2854" s="50">
        <f>AVERAGE(D2854,F2854)</f>
        <v>14911</v>
      </c>
      <c r="F2854" s="50">
        <f>D2854+E2855</f>
        <v>14951</v>
      </c>
      <c r="G2854" s="17"/>
      <c r="H2854" s="88" t="str">
        <f>IF((C2863-D2863)&gt;(C2874-D2874),"LONG",IF(C2874&gt;D2872,"LONG","SHORT"))</f>
        <v>LONG</v>
      </c>
      <c r="I2854" s="104">
        <v>14744</v>
      </c>
      <c r="J2854" s="120" t="s">
        <v>122</v>
      </c>
      <c r="K2854" s="106">
        <v>14807</v>
      </c>
      <c r="L2854" s="17"/>
      <c r="N2854" s="17"/>
      <c r="O2854" s="17"/>
      <c r="U2854" s="17"/>
      <c r="V2854" s="17"/>
    </row>
    <row r="2855" spans="2:26" x14ac:dyDescent="0.3">
      <c r="B2855" s="50">
        <v>14791</v>
      </c>
      <c r="C2855" s="40"/>
      <c r="D2855" s="58"/>
      <c r="E2855" s="59">
        <f>ROUND((((B2855*F2855%)/4)/10),0)*10</f>
        <v>80</v>
      </c>
      <c r="F2855" s="51">
        <f>(100/B2855)*(F2864-F2875)</f>
        <v>2.1154756270705133</v>
      </c>
      <c r="G2855" s="17"/>
      <c r="H2855" s="93">
        <v>0.39166666666666666</v>
      </c>
      <c r="I2855" s="93">
        <v>0.39861111111111108</v>
      </c>
      <c r="J2855" s="93">
        <v>0.4055555555555555</v>
      </c>
      <c r="K2855" s="93">
        <v>0.41250000000000003</v>
      </c>
      <c r="M2855" s="50">
        <v>1400</v>
      </c>
      <c r="N2855" s="17"/>
      <c r="O2855" s="17"/>
      <c r="U2855" s="17"/>
      <c r="V2855" s="17"/>
      <c r="W2855" s="90" t="s">
        <v>68</v>
      </c>
      <c r="X2855" s="119" t="s">
        <v>69</v>
      </c>
      <c r="Y2855" s="92" t="s">
        <v>70</v>
      </c>
      <c r="Z2855" s="90" t="s">
        <v>68</v>
      </c>
    </row>
    <row r="2856" spans="2:26" x14ac:dyDescent="0.3">
      <c r="B2856" s="40"/>
      <c r="C2856" s="50">
        <f>AVERAGE(B2855,D2856)</f>
        <v>14751</v>
      </c>
      <c r="D2856" s="51">
        <f>B2855-E2855</f>
        <v>14711</v>
      </c>
      <c r="E2856" s="50">
        <f>AVERAGE(D2856,F2856)</f>
        <v>14671</v>
      </c>
      <c r="F2856" s="50">
        <f>D2856-E2855</f>
        <v>14631</v>
      </c>
      <c r="G2856" s="17"/>
      <c r="H2856" s="51">
        <v>14767</v>
      </c>
      <c r="I2856" s="51">
        <v>14772</v>
      </c>
      <c r="J2856" s="51">
        <v>14787</v>
      </c>
      <c r="K2856" s="51">
        <v>14791.55</v>
      </c>
      <c r="L2856" s="17"/>
      <c r="N2856" s="17"/>
      <c r="O2856" s="17"/>
      <c r="Q2856" s="17"/>
      <c r="R2856" s="17"/>
      <c r="S2856" s="17"/>
      <c r="T2856" s="16"/>
      <c r="U2856" s="17"/>
      <c r="V2856" s="17"/>
      <c r="W2856" s="66">
        <v>0.41597222222222219</v>
      </c>
      <c r="X2856" s="7">
        <v>116</v>
      </c>
      <c r="Y2856" s="7">
        <v>116.05</v>
      </c>
      <c r="Z2856" s="66">
        <v>0.41597222222222219</v>
      </c>
    </row>
    <row r="2857" spans="2:26" x14ac:dyDescent="0.3">
      <c r="B2857" s="17"/>
      <c r="C2857" s="17"/>
      <c r="D2857" s="17"/>
      <c r="E2857" s="17"/>
      <c r="F2857" s="16"/>
      <c r="G2857" s="16"/>
      <c r="H2857" s="17"/>
      <c r="I2857" s="17"/>
      <c r="J2857" s="17"/>
      <c r="K2857" s="16"/>
      <c r="L2857" s="17"/>
      <c r="M2857" s="17"/>
      <c r="N2857" s="17"/>
      <c r="O2857" s="17"/>
      <c r="Q2857" s="17"/>
      <c r="R2857" s="17"/>
      <c r="S2857" s="17"/>
      <c r="T2857" s="17"/>
      <c r="U2857" s="17"/>
      <c r="V2857" s="17"/>
      <c r="W2857" s="66">
        <v>0.4368055555555555</v>
      </c>
      <c r="X2857" s="7">
        <v>136.85</v>
      </c>
      <c r="Y2857" s="7">
        <v>99.75</v>
      </c>
      <c r="Z2857" s="66">
        <v>0.4368055555555555</v>
      </c>
    </row>
    <row r="2858" spans="2:26" x14ac:dyDescent="0.3">
      <c r="B2858" s="16"/>
      <c r="C2858" s="17"/>
      <c r="D2858" s="17"/>
      <c r="E2858" s="17"/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Q2858" s="17"/>
      <c r="R2858" s="17"/>
      <c r="S2858" s="17"/>
      <c r="T2858" s="17"/>
      <c r="U2858" s="17"/>
      <c r="V2858" s="17"/>
      <c r="W2858" s="66">
        <v>0.45763888888888887</v>
      </c>
      <c r="X2858" s="7">
        <v>137.6</v>
      </c>
      <c r="Y2858" s="7">
        <v>98.6</v>
      </c>
      <c r="Z2858" s="66">
        <v>0.45763888888888887</v>
      </c>
    </row>
    <row r="2859" spans="2:26" x14ac:dyDescent="0.3">
      <c r="B2859" s="16"/>
      <c r="C2859" s="95">
        <v>44333</v>
      </c>
      <c r="D2859" s="17"/>
      <c r="E2859" s="17"/>
      <c r="F2859" s="7">
        <f>AVERAGE(F2861,F2872)</f>
        <v>14778.8</v>
      </c>
      <c r="G2859" s="96"/>
      <c r="H2859" s="66">
        <v>0.42708333333333331</v>
      </c>
      <c r="I2859" s="66">
        <v>0.53194444444444444</v>
      </c>
      <c r="J2859" s="66">
        <v>0.10486111111111111</v>
      </c>
      <c r="K2859" s="66">
        <v>0.13541666666666666</v>
      </c>
      <c r="M2859" s="66">
        <v>0.44444444444444442</v>
      </c>
      <c r="N2859" s="66"/>
      <c r="O2859" s="68"/>
      <c r="Q2859" s="17"/>
      <c r="R2859" s="17"/>
      <c r="S2859" s="17"/>
      <c r="T2859" s="17"/>
      <c r="U2859" s="17"/>
      <c r="V2859" s="17"/>
      <c r="W2859" s="66">
        <v>0.47847222222222219</v>
      </c>
      <c r="X2859" s="7">
        <v>140.85</v>
      </c>
      <c r="Y2859" s="7">
        <v>95.45</v>
      </c>
      <c r="Z2859" s="66">
        <v>0.47847222222222219</v>
      </c>
    </row>
    <row r="2860" spans="2:26" x14ac:dyDescent="0.3">
      <c r="B2860" s="90" t="s">
        <v>68</v>
      </c>
      <c r="C2860" s="66">
        <v>0.41666666666666669</v>
      </c>
      <c r="D2860" s="66">
        <v>0.39652777777777781</v>
      </c>
      <c r="E2860" s="17"/>
      <c r="F2860" s="17"/>
      <c r="G2860" s="17"/>
      <c r="H2860" s="23">
        <v>61.8</v>
      </c>
      <c r="I2860" s="7">
        <v>14883.65</v>
      </c>
      <c r="J2860" s="7">
        <v>14915.8</v>
      </c>
      <c r="K2860" s="7">
        <v>14951.15</v>
      </c>
      <c r="M2860" s="7">
        <v>14852</v>
      </c>
      <c r="N2860" s="7"/>
      <c r="O2860" s="70"/>
      <c r="U2860" s="17"/>
      <c r="V2860" s="17"/>
      <c r="W2860" s="66">
        <v>0.4993055555555555</v>
      </c>
      <c r="X2860" s="23">
        <v>146.55000000000001</v>
      </c>
      <c r="Y2860" s="7">
        <v>91.45</v>
      </c>
      <c r="Z2860" s="66">
        <v>0.4993055555555555</v>
      </c>
    </row>
    <row r="2861" spans="2:26" x14ac:dyDescent="0.3">
      <c r="B2861" s="5">
        <f>B2862-50</f>
        <v>14750</v>
      </c>
      <c r="C2861" s="7">
        <v>116</v>
      </c>
      <c r="D2861" s="7">
        <v>99.35</v>
      </c>
      <c r="E2861" s="16"/>
      <c r="F2861" s="7">
        <f t="shared" ref="F2861:F2866" si="237">B2861+D2861</f>
        <v>14849.35</v>
      </c>
      <c r="G2861" s="17"/>
      <c r="H2861" s="7">
        <v>144.5</v>
      </c>
      <c r="I2861" s="7">
        <v>171.5</v>
      </c>
      <c r="J2861" s="7">
        <v>190.5</v>
      </c>
      <c r="K2861" s="7">
        <v>218.7</v>
      </c>
      <c r="M2861" s="7">
        <v>147.9</v>
      </c>
      <c r="N2861" s="7"/>
      <c r="O2861" s="70"/>
      <c r="Q2861" s="150" t="s">
        <v>129</v>
      </c>
      <c r="R2861" s="151"/>
      <c r="S2861" s="151"/>
      <c r="T2861" s="151"/>
      <c r="V2861" s="17"/>
      <c r="W2861" s="66">
        <v>0.52013888888888882</v>
      </c>
      <c r="X2861" s="7">
        <v>162.44999999999999</v>
      </c>
      <c r="Y2861" s="7">
        <v>83.3</v>
      </c>
      <c r="Z2861" s="66">
        <v>0.52013888888888882</v>
      </c>
    </row>
    <row r="2862" spans="2:26" x14ac:dyDescent="0.3">
      <c r="B2862" s="5">
        <f>B2863-50</f>
        <v>14800</v>
      </c>
      <c r="C2862" s="7">
        <v>89.3</v>
      </c>
      <c r="D2862" s="7">
        <v>75.5</v>
      </c>
      <c r="E2862" s="16"/>
      <c r="F2862" s="7">
        <f t="shared" si="237"/>
        <v>14875.5</v>
      </c>
      <c r="G2862" s="17"/>
      <c r="H2862" s="7">
        <v>113.9</v>
      </c>
      <c r="I2862" s="7">
        <v>137.55000000000001</v>
      </c>
      <c r="J2862" s="7">
        <v>155.25</v>
      </c>
      <c r="K2862" s="7">
        <v>180.2</v>
      </c>
      <c r="M2862" s="7">
        <v>117</v>
      </c>
      <c r="N2862" s="7"/>
      <c r="O2862" s="70"/>
      <c r="P2862" s="17"/>
      <c r="Q2862" s="159">
        <v>44330</v>
      </c>
      <c r="R2862" s="161">
        <v>14623.8</v>
      </c>
      <c r="S2862" s="161">
        <v>14723.8</v>
      </c>
      <c r="T2862" s="159">
        <v>44330</v>
      </c>
      <c r="V2862" s="17"/>
      <c r="W2862" s="66">
        <v>0.54097222222222219</v>
      </c>
      <c r="X2862" s="7">
        <v>165.3</v>
      </c>
      <c r="Y2862" s="7">
        <v>79.849999999999994</v>
      </c>
      <c r="Z2862" s="66">
        <v>0.54097222222222219</v>
      </c>
    </row>
    <row r="2863" spans="2:26" x14ac:dyDescent="0.3">
      <c r="B2863" s="97">
        <v>14850</v>
      </c>
      <c r="C2863" s="7">
        <v>66.099999999999994</v>
      </c>
      <c r="D2863" s="7">
        <v>56.05</v>
      </c>
      <c r="E2863" s="16">
        <v>91.05</v>
      </c>
      <c r="F2863" s="7">
        <f t="shared" si="237"/>
        <v>14906.05</v>
      </c>
      <c r="G2863" s="17"/>
      <c r="H2863" s="7">
        <v>87</v>
      </c>
      <c r="I2863" s="7">
        <v>107.7</v>
      </c>
      <c r="J2863" s="7">
        <v>121.9</v>
      </c>
      <c r="K2863" s="7">
        <v>144.80000000000001</v>
      </c>
      <c r="M2863" s="7">
        <v>89.45</v>
      </c>
      <c r="N2863" s="7"/>
      <c r="O2863" s="70"/>
      <c r="P2863" s="17"/>
      <c r="Q2863" s="159">
        <v>44328</v>
      </c>
      <c r="R2863" s="161">
        <v>14708</v>
      </c>
      <c r="S2863" s="161">
        <v>14763</v>
      </c>
      <c r="T2863" s="159">
        <v>44328</v>
      </c>
      <c r="V2863" s="17"/>
      <c r="W2863" s="66">
        <v>6.1805555555555558E-2</v>
      </c>
      <c r="X2863" s="7">
        <v>160.35</v>
      </c>
      <c r="Y2863" s="7">
        <v>81.25</v>
      </c>
      <c r="Z2863" s="66">
        <v>6.1805555555555558E-2</v>
      </c>
    </row>
    <row r="2864" spans="2:26" x14ac:dyDescent="0.3">
      <c r="B2864" s="5">
        <f>B2863+50</f>
        <v>14900</v>
      </c>
      <c r="C2864" s="51">
        <v>47.1</v>
      </c>
      <c r="D2864" s="7">
        <v>39.9</v>
      </c>
      <c r="E2864" s="16"/>
      <c r="F2864" s="98">
        <f t="shared" si="237"/>
        <v>14939.9</v>
      </c>
      <c r="G2864" s="16">
        <f>AVERAGE(C2864,C2876)</f>
        <v>52.3</v>
      </c>
      <c r="H2864" s="7">
        <v>64.099999999999994</v>
      </c>
      <c r="I2864" s="7">
        <v>81.45</v>
      </c>
      <c r="J2864" s="7">
        <v>92.75</v>
      </c>
      <c r="K2864" s="7">
        <v>112.75</v>
      </c>
      <c r="M2864" s="7">
        <v>66.2</v>
      </c>
      <c r="N2864" s="7"/>
      <c r="O2864" s="70"/>
      <c r="P2864" s="17"/>
      <c r="Q2864" s="159">
        <v>44323</v>
      </c>
      <c r="R2864" s="161">
        <v>14825.85</v>
      </c>
      <c r="S2864" s="161">
        <v>14875.85</v>
      </c>
      <c r="T2864" s="159">
        <v>44323</v>
      </c>
      <c r="V2864" s="17"/>
      <c r="W2864" s="66">
        <v>8.2638888888888887E-2</v>
      </c>
      <c r="X2864" s="7">
        <v>177.55</v>
      </c>
      <c r="Y2864" s="7">
        <v>67.8</v>
      </c>
      <c r="Z2864" s="66">
        <v>8.2638888888888887E-2</v>
      </c>
    </row>
    <row r="2865" spans="2:26" x14ac:dyDescent="0.3">
      <c r="B2865" s="99">
        <f>B2864+50</f>
        <v>14950</v>
      </c>
      <c r="C2865" s="7">
        <v>32.200000000000003</v>
      </c>
      <c r="D2865" s="7">
        <v>27.65</v>
      </c>
      <c r="E2865" s="16"/>
      <c r="F2865" s="7">
        <f t="shared" si="237"/>
        <v>14977.65</v>
      </c>
      <c r="G2865" s="16"/>
      <c r="H2865" s="7">
        <v>45.75</v>
      </c>
      <c r="I2865" s="7">
        <v>59.4</v>
      </c>
      <c r="J2865" s="7">
        <v>68.55</v>
      </c>
      <c r="K2865" s="7">
        <v>85.5</v>
      </c>
      <c r="M2865" s="7">
        <v>47.05</v>
      </c>
      <c r="N2865" s="7"/>
      <c r="O2865" s="70"/>
      <c r="P2865" s="17"/>
      <c r="Q2865" s="159">
        <v>44327</v>
      </c>
      <c r="R2865" s="161">
        <v>14843.5</v>
      </c>
      <c r="S2865" s="161">
        <v>14933.5</v>
      </c>
      <c r="T2865" s="159">
        <v>44327</v>
      </c>
      <c r="V2865" s="17"/>
    </row>
    <row r="2866" spans="2:26" x14ac:dyDescent="0.3">
      <c r="B2866" s="5">
        <f>B2865+50</f>
        <v>15000</v>
      </c>
      <c r="C2866" s="7">
        <v>21.6</v>
      </c>
      <c r="D2866" s="7">
        <v>18.899999999999999</v>
      </c>
      <c r="E2866" s="16">
        <f>E2867-(F2867-E2867)</f>
        <v>22.500000000000014</v>
      </c>
      <c r="F2866" s="7">
        <f t="shared" si="237"/>
        <v>15018.9</v>
      </c>
      <c r="G2866" s="16"/>
      <c r="H2866" s="7">
        <v>31.75</v>
      </c>
      <c r="I2866" s="7">
        <v>41.9</v>
      </c>
      <c r="J2866" s="7">
        <v>48.8</v>
      </c>
      <c r="K2866" s="7">
        <v>62.7</v>
      </c>
      <c r="M2866" s="7">
        <v>32.549999999999997</v>
      </c>
      <c r="N2866" s="7"/>
      <c r="O2866" s="70"/>
      <c r="P2866" s="17"/>
      <c r="Q2866" s="159">
        <v>44326</v>
      </c>
      <c r="R2866" s="161">
        <v>14943.1</v>
      </c>
      <c r="S2866" s="161">
        <v>15023.1</v>
      </c>
      <c r="T2866" s="159">
        <v>44326</v>
      </c>
      <c r="V2866" s="17"/>
    </row>
    <row r="2867" spans="2:26" x14ac:dyDescent="0.3">
      <c r="B2867" s="17"/>
      <c r="C2867" s="17"/>
      <c r="D2867" s="16"/>
      <c r="E2867" s="16">
        <f>F2867-(G2867-F2867)</f>
        <v>42.150000000000006</v>
      </c>
      <c r="F2867" s="16">
        <f>AVERAGE(C2863,C2876)</f>
        <v>61.8</v>
      </c>
      <c r="G2867" s="16">
        <f>AVERAGE(C2862,C2875)</f>
        <v>81.449999999999989</v>
      </c>
      <c r="H2867" s="7"/>
      <c r="I2867" s="7"/>
      <c r="J2867" s="7"/>
      <c r="K2867" s="7"/>
      <c r="P2867" s="17"/>
      <c r="V2867" s="16"/>
    </row>
    <row r="2868" spans="2:26" x14ac:dyDescent="0.3">
      <c r="B2868" s="17"/>
      <c r="C2868" s="17"/>
      <c r="D2868" s="16"/>
      <c r="E2868" s="16"/>
      <c r="F2868" s="16"/>
      <c r="G2868" s="16"/>
      <c r="P2868" s="17"/>
      <c r="Q2868" s="17"/>
      <c r="R2868" s="17"/>
      <c r="S2868" s="17"/>
      <c r="T2868" s="17"/>
      <c r="U2868" s="16"/>
      <c r="V2868" s="16"/>
      <c r="W2868" s="90" t="s">
        <v>68</v>
      </c>
      <c r="X2868" s="119" t="s">
        <v>69</v>
      </c>
      <c r="Y2868" s="92" t="s">
        <v>70</v>
      </c>
      <c r="Z2868" s="90" t="s">
        <v>68</v>
      </c>
    </row>
    <row r="2869" spans="2:26" x14ac:dyDescent="0.3">
      <c r="B2869" s="17"/>
      <c r="C2869" s="17"/>
      <c r="D2869" s="16"/>
      <c r="E2869" s="16"/>
      <c r="F2869" s="16"/>
      <c r="G2869" s="16"/>
      <c r="H2869" s="101"/>
      <c r="I2869" s="101"/>
      <c r="J2869" s="101"/>
      <c r="K2869" s="101"/>
      <c r="M2869" s="101"/>
      <c r="N2869" s="101"/>
      <c r="O2869" s="101"/>
      <c r="P2869" s="17"/>
      <c r="Q2869" s="17"/>
      <c r="R2869" s="17"/>
      <c r="S2869" s="17"/>
      <c r="T2869" s="17"/>
      <c r="U2869" s="16"/>
      <c r="V2869" s="16"/>
      <c r="W2869" s="66">
        <v>0.41597222222222219</v>
      </c>
      <c r="X2869" s="7">
        <v>47.1</v>
      </c>
      <c r="Y2869" s="7">
        <v>57.5</v>
      </c>
      <c r="Z2869" s="66">
        <v>0.41597222222222219</v>
      </c>
    </row>
    <row r="2870" spans="2:26" x14ac:dyDescent="0.3">
      <c r="B2870" s="16"/>
      <c r="C2870" s="95">
        <v>44336</v>
      </c>
      <c r="D2870" s="17"/>
      <c r="F2870" s="16"/>
      <c r="H2870" s="66">
        <v>0.42708333333333331</v>
      </c>
      <c r="I2870" s="66">
        <v>0.53194444444444444</v>
      </c>
      <c r="J2870" s="66">
        <v>0.10486111111111111</v>
      </c>
      <c r="K2870" s="66">
        <v>0.13541666666666666</v>
      </c>
      <c r="M2870" s="66">
        <v>0.44444444444444442</v>
      </c>
      <c r="N2870" s="66"/>
      <c r="O2870" s="68"/>
      <c r="P2870" s="17"/>
      <c r="Q2870" s="150" t="s">
        <v>72</v>
      </c>
      <c r="R2870" s="151"/>
      <c r="S2870" s="151"/>
      <c r="T2870" s="151"/>
      <c r="U2870" s="152"/>
      <c r="V2870" s="17"/>
      <c r="W2870" s="66">
        <v>0.4368055555555555</v>
      </c>
      <c r="X2870" s="7">
        <v>60.15</v>
      </c>
      <c r="Y2870" s="7">
        <v>49.05</v>
      </c>
      <c r="Z2870" s="66">
        <v>0.4368055555555555</v>
      </c>
    </row>
    <row r="2871" spans="2:26" x14ac:dyDescent="0.3">
      <c r="B2871" s="90" t="s">
        <v>68</v>
      </c>
      <c r="C2871" s="66">
        <v>0.41666666666666669</v>
      </c>
      <c r="D2871" s="66">
        <v>0.4145833333333333</v>
      </c>
      <c r="E2871" s="16">
        <f>F2871-(G2871-F2871)</f>
        <v>48.625</v>
      </c>
      <c r="F2871" s="16">
        <f>AVERAGE(C2875,C2863)</f>
        <v>69.849999999999994</v>
      </c>
      <c r="G2871" s="16">
        <f>AVERAGE(C2874,C2862)</f>
        <v>91.074999999999989</v>
      </c>
      <c r="H2871" s="7">
        <v>14845</v>
      </c>
      <c r="I2871" s="23">
        <v>36.200000000000003</v>
      </c>
      <c r="J2871" s="23">
        <v>28.15</v>
      </c>
      <c r="K2871" s="7">
        <v>14951.15</v>
      </c>
      <c r="M2871" s="23">
        <v>44.2</v>
      </c>
      <c r="N2871" s="7"/>
      <c r="O2871" s="70"/>
      <c r="P2871" s="17"/>
      <c r="Q2871" s="34"/>
      <c r="R2871" s="34" t="s">
        <v>111</v>
      </c>
      <c r="S2871" s="34" t="s">
        <v>2</v>
      </c>
      <c r="T2871" s="34" t="s">
        <v>1</v>
      </c>
      <c r="U2871" s="34" t="s">
        <v>111</v>
      </c>
      <c r="V2871" s="17"/>
      <c r="W2871" s="66">
        <v>0.45763888888888887</v>
      </c>
      <c r="X2871" s="7">
        <v>59.75</v>
      </c>
      <c r="Y2871" s="7">
        <v>48.4</v>
      </c>
      <c r="Z2871" s="66">
        <v>0.45763888888888887</v>
      </c>
    </row>
    <row r="2872" spans="2:26" x14ac:dyDescent="0.3">
      <c r="B2872" s="5">
        <f>B2873+50</f>
        <v>14850</v>
      </c>
      <c r="C2872" s="7">
        <v>143.80000000000001</v>
      </c>
      <c r="D2872" s="7">
        <v>141.75</v>
      </c>
      <c r="E2872" s="16">
        <f>E2871-(F2871-E2871)</f>
        <v>27.400000000000006</v>
      </c>
      <c r="F2872" s="7">
        <f t="shared" ref="F2872:F2877" si="238">B2872-D2872</f>
        <v>14708.25</v>
      </c>
      <c r="G2872" s="16"/>
      <c r="H2872" s="7">
        <v>117.05</v>
      </c>
      <c r="I2872" s="7">
        <v>96.55</v>
      </c>
      <c r="J2872" s="7">
        <v>79.25</v>
      </c>
      <c r="K2872" s="7">
        <v>67.349999999999994</v>
      </c>
      <c r="M2872" s="7">
        <v>114.35</v>
      </c>
      <c r="N2872" s="7"/>
      <c r="O2872" s="70"/>
      <c r="P2872" s="17"/>
      <c r="Q2872" s="7">
        <f>(U2872*T2872)-(R2872*S2872)</f>
        <v>1301.25</v>
      </c>
      <c r="R2872" s="109">
        <v>75</v>
      </c>
      <c r="S2872" s="7">
        <v>64.099999999999994</v>
      </c>
      <c r="T2872" s="18">
        <v>81.45</v>
      </c>
      <c r="U2872" s="109">
        <f>R2872</f>
        <v>75</v>
      </c>
      <c r="V2872" s="16"/>
      <c r="W2872" s="66">
        <v>0.47847222222222219</v>
      </c>
      <c r="X2872" s="7">
        <v>62.45</v>
      </c>
      <c r="Y2872" s="7">
        <v>45.75</v>
      </c>
      <c r="Z2872" s="66">
        <v>0.47847222222222219</v>
      </c>
    </row>
    <row r="2873" spans="2:26" x14ac:dyDescent="0.3">
      <c r="B2873" s="5">
        <f>B2874+50</f>
        <v>14800</v>
      </c>
      <c r="C2873" s="7">
        <v>116.05</v>
      </c>
      <c r="D2873" s="7">
        <v>115.1</v>
      </c>
      <c r="E2873" s="16"/>
      <c r="F2873" s="7">
        <f t="shared" si="238"/>
        <v>14684.9</v>
      </c>
      <c r="G2873" s="17"/>
      <c r="H2873" s="7">
        <v>94.65</v>
      </c>
      <c r="I2873" s="7">
        <v>76.900000000000006</v>
      </c>
      <c r="J2873" s="7">
        <v>61.9</v>
      </c>
      <c r="K2873" s="7">
        <v>52.65</v>
      </c>
      <c r="M2873" s="7">
        <v>91.4</v>
      </c>
      <c r="N2873" s="7"/>
      <c r="O2873" s="70"/>
      <c r="P2873" s="17"/>
      <c r="Q2873" s="7">
        <f>(U2873*T2873)-(R2873*S2873)</f>
        <v>3648.75</v>
      </c>
      <c r="R2873" s="109">
        <v>75</v>
      </c>
      <c r="S2873" s="7">
        <v>64.099999999999994</v>
      </c>
      <c r="T2873" s="18">
        <v>112.75</v>
      </c>
      <c r="U2873" s="109">
        <f>R2873</f>
        <v>75</v>
      </c>
      <c r="V2873" s="16"/>
      <c r="W2873" s="66">
        <v>0.4993055555555555</v>
      </c>
      <c r="X2873" s="7">
        <v>65.3</v>
      </c>
      <c r="Y2873" s="7">
        <v>44.05</v>
      </c>
      <c r="Z2873" s="66">
        <v>0.4993055555555555</v>
      </c>
    </row>
    <row r="2874" spans="2:26" x14ac:dyDescent="0.3">
      <c r="B2874" s="97">
        <v>14750</v>
      </c>
      <c r="C2874" s="7">
        <v>92.85</v>
      </c>
      <c r="D2874" s="7">
        <v>91.75</v>
      </c>
      <c r="E2874" s="16"/>
      <c r="F2874" s="7">
        <f t="shared" si="238"/>
        <v>14658.25</v>
      </c>
      <c r="G2874" s="17"/>
      <c r="H2874" s="7">
        <v>75.3</v>
      </c>
      <c r="I2874" s="7">
        <v>60.85</v>
      </c>
      <c r="J2874" s="7">
        <v>47.7</v>
      </c>
      <c r="K2874" s="7">
        <v>41.2</v>
      </c>
      <c r="M2874" s="7">
        <v>72.650000000000006</v>
      </c>
      <c r="N2874" s="7"/>
      <c r="O2874" s="70"/>
      <c r="P2874" s="17"/>
      <c r="Q2874" s="7">
        <f>(U2874*T2874)-(R2874*S2874)</f>
        <v>0</v>
      </c>
      <c r="R2874" s="109"/>
      <c r="S2874" s="18"/>
      <c r="T2874" s="18"/>
      <c r="U2874" s="109">
        <f>R2874</f>
        <v>0</v>
      </c>
      <c r="V2874" s="17"/>
      <c r="W2874" s="66">
        <v>0.52013888888888882</v>
      </c>
      <c r="X2874" s="7">
        <v>74.849999999999994</v>
      </c>
      <c r="Y2874" s="7">
        <v>40.6</v>
      </c>
      <c r="Z2874" s="66">
        <v>0.52013888888888882</v>
      </c>
    </row>
    <row r="2875" spans="2:26" x14ac:dyDescent="0.3">
      <c r="B2875" s="14">
        <f>B2874-50</f>
        <v>14700</v>
      </c>
      <c r="C2875" s="7">
        <v>73.599999999999994</v>
      </c>
      <c r="D2875" s="7">
        <v>73</v>
      </c>
      <c r="E2875" s="16"/>
      <c r="F2875" s="98">
        <f t="shared" si="238"/>
        <v>14627</v>
      </c>
      <c r="G2875" s="16">
        <f>AVERAGE(G2876,C2876)</f>
        <v>46.875</v>
      </c>
      <c r="H2875" s="7">
        <v>59.6</v>
      </c>
      <c r="I2875" s="7">
        <v>47.45</v>
      </c>
      <c r="J2875" s="7">
        <v>36.35</v>
      </c>
      <c r="K2875" s="7">
        <v>31.65</v>
      </c>
      <c r="M2875" s="7">
        <v>57.4</v>
      </c>
      <c r="N2875" s="7"/>
      <c r="O2875" s="70"/>
      <c r="P2875" s="17"/>
      <c r="Q2875" s="7">
        <f>(U2875*T2875)-(R2875*S2875)</f>
        <v>0</v>
      </c>
      <c r="R2875" s="109"/>
      <c r="S2875" s="18"/>
      <c r="T2875" s="18"/>
      <c r="U2875" s="109">
        <f>R2875</f>
        <v>0</v>
      </c>
      <c r="V2875" s="17"/>
      <c r="W2875" s="66">
        <v>0.54097222222222219</v>
      </c>
      <c r="X2875" s="7">
        <v>77.599999999999994</v>
      </c>
      <c r="Y2875" s="7">
        <v>37.549999999999997</v>
      </c>
      <c r="Z2875" s="66">
        <v>0.54097222222222219</v>
      </c>
    </row>
    <row r="2876" spans="2:26" x14ac:dyDescent="0.3">
      <c r="B2876" s="99">
        <f>B2875-50</f>
        <v>14650</v>
      </c>
      <c r="C2876" s="51">
        <v>57.5</v>
      </c>
      <c r="D2876" s="7">
        <v>56.95</v>
      </c>
      <c r="E2876" s="16"/>
      <c r="F2876" s="7">
        <f t="shared" si="238"/>
        <v>14593.05</v>
      </c>
      <c r="G2876" s="16">
        <v>36.25</v>
      </c>
      <c r="H2876" s="7">
        <v>46.65</v>
      </c>
      <c r="I2876" s="7">
        <v>36.6</v>
      </c>
      <c r="J2876" s="7">
        <v>27.5</v>
      </c>
      <c r="K2876" s="7">
        <v>24.45</v>
      </c>
      <c r="M2876" s="7">
        <v>45</v>
      </c>
      <c r="N2876" s="7"/>
      <c r="O2876" s="70"/>
      <c r="P2876" s="17"/>
      <c r="Q2876" s="7">
        <f>SUM(Q2872:Q2875)</f>
        <v>4950</v>
      </c>
      <c r="R2876" s="7">
        <f>SUM(R2872:R2875)</f>
        <v>150</v>
      </c>
      <c r="S2876" s="109">
        <f>R2876-U2876</f>
        <v>0</v>
      </c>
      <c r="T2876" s="114" t="e">
        <f>Q2876/S2876</f>
        <v>#DIV/0!</v>
      </c>
      <c r="U2876" s="7">
        <f>SUM(U2872:U2875)</f>
        <v>150</v>
      </c>
      <c r="V2876" s="17"/>
      <c r="W2876" s="66">
        <v>6.1805555555555558E-2</v>
      </c>
      <c r="X2876" s="7">
        <v>73</v>
      </c>
      <c r="Y2876" s="7">
        <v>38.5</v>
      </c>
      <c r="Z2876" s="66">
        <v>6.1805555555555558E-2</v>
      </c>
    </row>
    <row r="2877" spans="2:26" x14ac:dyDescent="0.3">
      <c r="B2877" s="5">
        <f>B2876-50</f>
        <v>14600</v>
      </c>
      <c r="C2877" s="7">
        <v>44.2</v>
      </c>
      <c r="D2877" s="7">
        <v>43.6</v>
      </c>
      <c r="E2877" s="16"/>
      <c r="F2877" s="7">
        <f t="shared" si="238"/>
        <v>14556.4</v>
      </c>
      <c r="G2877" s="17"/>
      <c r="H2877" s="7">
        <v>36.200000000000003</v>
      </c>
      <c r="I2877" s="7">
        <v>28.15</v>
      </c>
      <c r="J2877" s="7">
        <v>20.9</v>
      </c>
      <c r="K2877" s="7">
        <v>19</v>
      </c>
      <c r="M2877" s="7">
        <v>35</v>
      </c>
      <c r="N2877" s="7"/>
      <c r="O2877" s="70"/>
      <c r="W2877" s="66">
        <v>8.2638888888888887E-2</v>
      </c>
      <c r="X2877" s="7">
        <v>83</v>
      </c>
      <c r="Y2877" s="7">
        <v>31.4</v>
      </c>
      <c r="Z2877" s="66">
        <v>8.2638888888888887E-2</v>
      </c>
    </row>
    <row r="2878" spans="2:26" x14ac:dyDescent="0.3">
      <c r="C2878" s="40"/>
      <c r="G2878" s="40"/>
      <c r="H2878" s="7"/>
      <c r="I2878" s="7">
        <v>21.45</v>
      </c>
      <c r="J2878" s="7"/>
      <c r="K2878" s="7"/>
      <c r="P2878" s="98">
        <f>Q2876</f>
        <v>4950</v>
      </c>
      <c r="Q2878" s="92" t="s">
        <v>72</v>
      </c>
      <c r="R2878" s="17"/>
      <c r="T2878" s="92" t="s">
        <v>73</v>
      </c>
      <c r="U2878" s="7">
        <f>((X2870+Y2870)-(X2878+Y2878))</f>
        <v>12.849999999999994</v>
      </c>
      <c r="V2878" s="98">
        <f>U2878*150</f>
        <v>1927.4999999999991</v>
      </c>
      <c r="W2878" s="66">
        <v>0.4368055555555555</v>
      </c>
      <c r="X2878" s="7">
        <v>60.15</v>
      </c>
      <c r="Y2878" s="7">
        <v>36.200000000000003</v>
      </c>
      <c r="Z2878" s="66">
        <v>0.53194444444444444</v>
      </c>
    </row>
    <row r="2888" spans="2:26" x14ac:dyDescent="0.3">
      <c r="B2888" s="40"/>
      <c r="C2888" s="50">
        <f>AVERAGE(B2889,D2888)</f>
        <v>15140.5</v>
      </c>
      <c r="D2888" s="51">
        <f>B2889+E2889</f>
        <v>15175.5</v>
      </c>
      <c r="E2888" s="50">
        <f>AVERAGE(D2888,F2888)</f>
        <v>15210.5</v>
      </c>
      <c r="F2888" s="50">
        <f>D2888+E2889</f>
        <v>15245.5</v>
      </c>
      <c r="G2888" s="17"/>
      <c r="H2888" s="88" t="str">
        <f>IF((C2897-D2897)&gt;(C2908-D2908),"LONG",IF(C2908&gt;D2906,"LONG","SHORT"))</f>
        <v>SHORT</v>
      </c>
      <c r="I2888" s="104">
        <v>15072</v>
      </c>
      <c r="J2888" s="120" t="s">
        <v>122</v>
      </c>
      <c r="K2888" s="106">
        <v>15153</v>
      </c>
      <c r="L2888" s="17"/>
      <c r="N2888" s="17"/>
      <c r="O2888" s="17"/>
      <c r="U2888" s="17"/>
      <c r="V2888" s="17"/>
    </row>
    <row r="2889" spans="2:26" x14ac:dyDescent="0.3">
      <c r="B2889" s="50">
        <v>15105.5</v>
      </c>
      <c r="C2889" s="40"/>
      <c r="D2889" s="58"/>
      <c r="E2889" s="59">
        <f>ROUND((((B2889*F2889%)/4)/10),0)*10</f>
        <v>70</v>
      </c>
      <c r="F2889" s="51">
        <f>(100/B2889)*(F2898-F2909)</f>
        <v>1.8225149779881453</v>
      </c>
      <c r="G2889" s="17"/>
      <c r="H2889" s="93">
        <v>0.39166666666666666</v>
      </c>
      <c r="I2889" s="93">
        <v>0.39861111111111108</v>
      </c>
      <c r="J2889" s="93">
        <v>0.4055555555555555</v>
      </c>
      <c r="K2889" s="93">
        <v>0.41250000000000003</v>
      </c>
      <c r="M2889" s="50">
        <v>2500</v>
      </c>
      <c r="N2889" s="17"/>
      <c r="O2889" s="17"/>
      <c r="U2889" s="17"/>
      <c r="V2889" s="17"/>
      <c r="W2889" s="90" t="s">
        <v>68</v>
      </c>
      <c r="X2889" s="119" t="s">
        <v>69</v>
      </c>
      <c r="Y2889" s="92" t="s">
        <v>70</v>
      </c>
      <c r="Z2889" s="90" t="s">
        <v>68</v>
      </c>
    </row>
    <row r="2890" spans="2:26" x14ac:dyDescent="0.3">
      <c r="B2890" s="40"/>
      <c r="C2890" s="50">
        <f>AVERAGE(B2889,D2890)</f>
        <v>15070.5</v>
      </c>
      <c r="D2890" s="51">
        <f>B2889-E2889</f>
        <v>15035.5</v>
      </c>
      <c r="E2890" s="50">
        <f>AVERAGE(D2890,F2890)</f>
        <v>15000.5</v>
      </c>
      <c r="F2890" s="50">
        <f>D2890-E2889</f>
        <v>14965.5</v>
      </c>
      <c r="G2890" s="17"/>
      <c r="H2890" s="51">
        <v>15117.3</v>
      </c>
      <c r="I2890" s="51">
        <v>15111.65</v>
      </c>
      <c r="J2890" s="51">
        <v>15119.6</v>
      </c>
      <c r="K2890" s="51">
        <v>15120.55</v>
      </c>
      <c r="L2890" s="17"/>
      <c r="N2890" s="17"/>
      <c r="O2890" s="17"/>
      <c r="Q2890" s="17"/>
      <c r="R2890" s="17"/>
      <c r="S2890" s="17"/>
      <c r="T2890" s="16"/>
      <c r="U2890" s="17"/>
      <c r="V2890" s="17"/>
      <c r="W2890" s="66">
        <v>0.41597222222222219</v>
      </c>
      <c r="X2890" s="7">
        <v>105</v>
      </c>
      <c r="Y2890" s="7">
        <v>121.15</v>
      </c>
      <c r="Z2890" s="66">
        <v>0.41597222222222219</v>
      </c>
    </row>
    <row r="2891" spans="2:26" x14ac:dyDescent="0.3">
      <c r="B2891" s="17"/>
      <c r="C2891" s="17"/>
      <c r="D2891" s="17"/>
      <c r="E2891" s="17"/>
      <c r="F2891" s="16"/>
      <c r="G2891" s="16"/>
      <c r="H2891" s="17"/>
      <c r="I2891" s="17"/>
      <c r="J2891" s="17"/>
      <c r="K2891" s="16"/>
      <c r="L2891" s="17"/>
      <c r="M2891" s="17"/>
      <c r="N2891" s="17"/>
      <c r="O2891" s="17"/>
      <c r="Q2891" s="17"/>
      <c r="R2891" s="17"/>
      <c r="S2891" s="17"/>
      <c r="T2891" s="17"/>
      <c r="U2891" s="17"/>
      <c r="V2891" s="17"/>
      <c r="W2891" s="66">
        <v>0.4368055555555555</v>
      </c>
      <c r="X2891" s="7">
        <v>108.25</v>
      </c>
      <c r="Y2891" s="7">
        <v>111.95</v>
      </c>
      <c r="Z2891" s="66">
        <v>0.4368055555555555</v>
      </c>
    </row>
    <row r="2892" spans="2:26" x14ac:dyDescent="0.3">
      <c r="B2892" s="16"/>
      <c r="C2892" s="17"/>
      <c r="D2892" s="17"/>
      <c r="E2892" s="17"/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Q2892" s="17"/>
      <c r="R2892" s="17"/>
      <c r="S2892" s="17"/>
      <c r="T2892" s="17"/>
      <c r="U2892" s="17"/>
      <c r="V2892" s="17"/>
      <c r="W2892" s="66">
        <v>0.45763888888888887</v>
      </c>
      <c r="X2892" s="7">
        <v>124.6</v>
      </c>
      <c r="Y2892" s="7">
        <v>96.6</v>
      </c>
      <c r="Z2892" s="66">
        <v>0.45763888888888887</v>
      </c>
    </row>
    <row r="2893" spans="2:26" x14ac:dyDescent="0.3">
      <c r="B2893" s="16"/>
      <c r="C2893" s="95">
        <v>44334</v>
      </c>
      <c r="D2893" s="17"/>
      <c r="E2893" s="17"/>
      <c r="F2893" s="7">
        <f>AVERAGE(F2895,F2906)</f>
        <v>15104.875</v>
      </c>
      <c r="G2893" s="96"/>
      <c r="H2893" s="66">
        <v>0.4236111111111111</v>
      </c>
      <c r="I2893" s="66">
        <v>0.46319444444444446</v>
      </c>
      <c r="J2893" s="66">
        <v>5.9722222222222225E-2</v>
      </c>
      <c r="K2893" s="66">
        <v>0.10416666666666667</v>
      </c>
      <c r="M2893" s="66">
        <v>0.45763888888888887</v>
      </c>
      <c r="N2893" s="66"/>
      <c r="O2893" s="68"/>
      <c r="Q2893" s="17"/>
      <c r="R2893" s="17"/>
      <c r="S2893" s="17"/>
      <c r="T2893" s="17"/>
      <c r="U2893" s="17"/>
      <c r="V2893" s="17"/>
      <c r="W2893" s="66">
        <v>0.47847222222222219</v>
      </c>
      <c r="X2893" s="7">
        <v>130.19999999999999</v>
      </c>
      <c r="Y2893" s="7">
        <v>92.15</v>
      </c>
      <c r="Z2893" s="66">
        <v>0.47847222222222219</v>
      </c>
    </row>
    <row r="2894" spans="2:26" x14ac:dyDescent="0.3">
      <c r="B2894" s="90" t="s">
        <v>68</v>
      </c>
      <c r="C2894" s="66">
        <v>0.41666666666666669</v>
      </c>
      <c r="D2894" s="66">
        <v>0.41666666666666669</v>
      </c>
      <c r="E2894" s="17"/>
      <c r="F2894" s="17"/>
      <c r="G2894" s="17"/>
      <c r="H2894" s="7"/>
      <c r="I2894" s="23">
        <v>54.35</v>
      </c>
      <c r="J2894" s="7">
        <v>15156</v>
      </c>
      <c r="K2894" s="7">
        <v>15117.15</v>
      </c>
      <c r="M2894" s="7">
        <v>15145.75</v>
      </c>
      <c r="N2894" s="7"/>
      <c r="O2894" s="70"/>
      <c r="U2894" s="17"/>
      <c r="V2894" s="17"/>
      <c r="W2894" s="66">
        <v>0.4993055555555555</v>
      </c>
      <c r="X2894" s="7">
        <v>129.4</v>
      </c>
      <c r="Y2894" s="7">
        <v>91.9</v>
      </c>
      <c r="Z2894" s="66">
        <v>0.4993055555555555</v>
      </c>
    </row>
    <row r="2895" spans="2:26" x14ac:dyDescent="0.3">
      <c r="B2895" s="5">
        <f>B2896-50</f>
        <v>15050</v>
      </c>
      <c r="C2895" s="7">
        <v>105</v>
      </c>
      <c r="D2895" s="7">
        <v>105</v>
      </c>
      <c r="E2895" s="16"/>
      <c r="F2895" s="7">
        <f t="shared" ref="F2895:F2900" si="239">B2895+D2895</f>
        <v>15155</v>
      </c>
      <c r="G2895" s="17"/>
      <c r="H2895" s="7">
        <v>96.75</v>
      </c>
      <c r="I2895" s="7">
        <v>138.44999999999999</v>
      </c>
      <c r="J2895" s="7">
        <v>132</v>
      </c>
      <c r="K2895" s="7">
        <v>106.95</v>
      </c>
      <c r="M2895" s="7">
        <v>124.6</v>
      </c>
      <c r="N2895" s="7"/>
      <c r="O2895" s="70"/>
      <c r="Q2895" s="150" t="s">
        <v>129</v>
      </c>
      <c r="R2895" s="151"/>
      <c r="S2895" s="151"/>
      <c r="T2895" s="151"/>
      <c r="V2895" s="17"/>
      <c r="W2895" s="66">
        <v>0.52013888888888882</v>
      </c>
      <c r="X2895" s="7">
        <v>119.75</v>
      </c>
      <c r="Y2895" s="7">
        <v>100.65</v>
      </c>
      <c r="Z2895" s="66">
        <v>0.52013888888888882</v>
      </c>
    </row>
    <row r="2896" spans="2:26" x14ac:dyDescent="0.3">
      <c r="B2896" s="5">
        <f>B2897-50</f>
        <v>15100</v>
      </c>
      <c r="C2896" s="7">
        <v>77.75</v>
      </c>
      <c r="D2896" s="7">
        <v>77.75</v>
      </c>
      <c r="E2896" s="16"/>
      <c r="F2896" s="7">
        <f t="shared" si="239"/>
        <v>15177.75</v>
      </c>
      <c r="G2896" s="17"/>
      <c r="H2896" s="7">
        <v>70.849999999999994</v>
      </c>
      <c r="I2896" s="7">
        <v>105.1</v>
      </c>
      <c r="J2896" s="7">
        <v>99.15</v>
      </c>
      <c r="K2896" s="7">
        <v>78</v>
      </c>
      <c r="M2896" s="7">
        <v>93.5</v>
      </c>
      <c r="N2896" s="7"/>
      <c r="O2896" s="70"/>
      <c r="P2896" s="17"/>
      <c r="Q2896" s="159">
        <v>44330</v>
      </c>
      <c r="R2896" s="161">
        <v>14623.8</v>
      </c>
      <c r="S2896" s="161">
        <v>14723.8</v>
      </c>
      <c r="T2896" s="159">
        <v>44330</v>
      </c>
      <c r="V2896" s="17"/>
      <c r="W2896" s="66">
        <v>0.54097222222222219</v>
      </c>
      <c r="X2896" s="7">
        <v>121.55</v>
      </c>
      <c r="Y2896" s="7">
        <v>98.2</v>
      </c>
      <c r="Z2896" s="66">
        <v>0.54097222222222219</v>
      </c>
    </row>
    <row r="2897" spans="2:26" x14ac:dyDescent="0.3">
      <c r="B2897" s="97">
        <v>15150</v>
      </c>
      <c r="C2897" s="7">
        <v>55.05</v>
      </c>
      <c r="D2897" s="7">
        <v>55.05</v>
      </c>
      <c r="E2897" s="16"/>
      <c r="F2897" s="7">
        <f t="shared" si="239"/>
        <v>15205.05</v>
      </c>
      <c r="G2897" s="17"/>
      <c r="H2897" s="7">
        <v>49.85</v>
      </c>
      <c r="I2897" s="7">
        <v>76.7</v>
      </c>
      <c r="J2897" s="7">
        <v>71.3</v>
      </c>
      <c r="K2897" s="7">
        <v>54.65</v>
      </c>
      <c r="M2897" s="7">
        <v>66.75</v>
      </c>
      <c r="N2897" s="7"/>
      <c r="O2897" s="70"/>
      <c r="P2897" s="17"/>
      <c r="Q2897" s="159">
        <v>44328</v>
      </c>
      <c r="R2897" s="161">
        <v>14708</v>
      </c>
      <c r="S2897" s="161">
        <v>14763</v>
      </c>
      <c r="T2897" s="159">
        <v>44328</v>
      </c>
      <c r="V2897" s="17"/>
      <c r="W2897" s="66">
        <v>6.1805555555555558E-2</v>
      </c>
      <c r="X2897" s="7">
        <v>131.44999999999999</v>
      </c>
      <c r="Y2897" s="7">
        <v>85.55</v>
      </c>
      <c r="Z2897" s="66">
        <v>6.1805555555555558E-2</v>
      </c>
    </row>
    <row r="2898" spans="2:26" x14ac:dyDescent="0.3">
      <c r="B2898" s="5">
        <f>B2897+50</f>
        <v>15200</v>
      </c>
      <c r="C2898" s="51">
        <v>36.9</v>
      </c>
      <c r="D2898" s="7">
        <v>36.9</v>
      </c>
      <c r="E2898" s="16"/>
      <c r="F2898" s="98">
        <f t="shared" si="239"/>
        <v>15236.9</v>
      </c>
      <c r="G2898" s="17"/>
      <c r="H2898" s="7">
        <v>33.6</v>
      </c>
      <c r="I2898" s="7">
        <v>53.8</v>
      </c>
      <c r="J2898" s="7">
        <v>48.95</v>
      </c>
      <c r="K2898" s="7">
        <v>36.35</v>
      </c>
      <c r="M2898" s="7">
        <v>45.7</v>
      </c>
      <c r="N2898" s="7"/>
      <c r="O2898" s="70"/>
      <c r="P2898" s="17"/>
      <c r="Q2898" s="159">
        <v>44333</v>
      </c>
      <c r="R2898" s="161">
        <v>14791</v>
      </c>
      <c r="S2898" s="161">
        <v>14933.5</v>
      </c>
      <c r="T2898" s="159">
        <v>44327</v>
      </c>
      <c r="V2898" s="17"/>
      <c r="W2898" s="66">
        <v>8.2638888888888887E-2</v>
      </c>
      <c r="X2898" s="7">
        <v>129.55000000000001</v>
      </c>
      <c r="Y2898" s="7">
        <v>85.25</v>
      </c>
      <c r="Z2898" s="66">
        <v>8.2638888888888887E-2</v>
      </c>
    </row>
    <row r="2899" spans="2:26" x14ac:dyDescent="0.3">
      <c r="B2899" s="99">
        <f>B2898+50</f>
        <v>15250</v>
      </c>
      <c r="C2899" s="7">
        <v>23.65</v>
      </c>
      <c r="D2899" s="7">
        <v>23.65</v>
      </c>
      <c r="E2899" s="16"/>
      <c r="F2899" s="7">
        <f t="shared" si="239"/>
        <v>15273.65</v>
      </c>
      <c r="G2899" s="17"/>
      <c r="H2899" s="7">
        <v>21.55</v>
      </c>
      <c r="I2899" s="7">
        <v>35.549999999999997</v>
      </c>
      <c r="J2899" s="7">
        <v>31.65</v>
      </c>
      <c r="K2899" s="7">
        <v>22.65</v>
      </c>
      <c r="M2899" s="7">
        <v>29.75</v>
      </c>
      <c r="N2899" s="7"/>
      <c r="O2899" s="70"/>
      <c r="P2899" s="17"/>
      <c r="Q2899" s="159">
        <v>44327</v>
      </c>
      <c r="R2899" s="161">
        <v>14843.5</v>
      </c>
      <c r="S2899" s="161">
        <v>14951</v>
      </c>
      <c r="T2899" s="159">
        <v>44333</v>
      </c>
      <c r="V2899" s="17"/>
    </row>
    <row r="2900" spans="2:26" x14ac:dyDescent="0.3">
      <c r="B2900" s="5">
        <f>B2899+50</f>
        <v>15300</v>
      </c>
      <c r="C2900" s="7">
        <v>14.9</v>
      </c>
      <c r="D2900" s="7">
        <v>14.9</v>
      </c>
      <c r="E2900" s="16">
        <f>E2901-(F2901-E2901)</f>
        <v>13.699999999999989</v>
      </c>
      <c r="F2900" s="7">
        <f t="shared" si="239"/>
        <v>15314.9</v>
      </c>
      <c r="G2900" s="16"/>
      <c r="H2900" s="7">
        <v>13.6</v>
      </c>
      <c r="I2900" s="7">
        <v>22.45</v>
      </c>
      <c r="J2900" s="7">
        <v>19.55</v>
      </c>
      <c r="K2900" s="7">
        <v>14.2</v>
      </c>
      <c r="M2900" s="7">
        <v>18.5</v>
      </c>
      <c r="N2900" s="7"/>
      <c r="O2900" s="70"/>
      <c r="P2900" s="17"/>
      <c r="Q2900" s="159">
        <v>44326</v>
      </c>
      <c r="R2900" s="161">
        <v>14943.1</v>
      </c>
      <c r="S2900" s="161">
        <v>15023.1</v>
      </c>
      <c r="T2900" s="159">
        <v>44326</v>
      </c>
      <c r="V2900" s="17"/>
    </row>
    <row r="2901" spans="2:26" x14ac:dyDescent="0.3">
      <c r="B2901" s="17"/>
      <c r="C2901" s="17"/>
      <c r="D2901" s="16"/>
      <c r="E2901" s="16">
        <f>F2901-(G2901-F2901)</f>
        <v>34.024999999999991</v>
      </c>
      <c r="F2901" s="16">
        <f>AVERAGE(C2897,C2909)</f>
        <v>54.349999999999994</v>
      </c>
      <c r="G2901" s="16">
        <f>AVERAGE(C2896,C2908)</f>
        <v>74.674999999999997</v>
      </c>
      <c r="H2901" s="7"/>
      <c r="I2901" s="7"/>
      <c r="J2901" s="7"/>
      <c r="K2901" s="7"/>
      <c r="P2901" s="17"/>
      <c r="V2901" s="16"/>
    </row>
    <row r="2902" spans="2:26" x14ac:dyDescent="0.3">
      <c r="B2902" s="17"/>
      <c r="C2902" s="17"/>
      <c r="D2902" s="16"/>
      <c r="E2902" s="16"/>
      <c r="F2902" s="16"/>
      <c r="G2902" s="16"/>
      <c r="P2902" s="17"/>
      <c r="Q2902" s="17"/>
      <c r="R2902" s="17"/>
      <c r="S2902" s="17"/>
      <c r="T2902" s="17"/>
      <c r="U2902" s="16"/>
      <c r="V2902" s="16"/>
      <c r="W2902" s="90" t="s">
        <v>68</v>
      </c>
      <c r="X2902" s="119" t="s">
        <v>69</v>
      </c>
      <c r="Y2902" s="92" t="s">
        <v>70</v>
      </c>
      <c r="Z2902" s="90" t="s">
        <v>68</v>
      </c>
    </row>
    <row r="2903" spans="2:26" x14ac:dyDescent="0.3">
      <c r="B2903" s="17"/>
      <c r="C2903" s="17"/>
      <c r="D2903" s="16"/>
      <c r="E2903" s="16"/>
      <c r="F2903" s="16"/>
      <c r="G2903" s="16"/>
      <c r="H2903" s="101"/>
      <c r="I2903" s="101"/>
      <c r="J2903" s="101"/>
      <c r="K2903" s="101"/>
      <c r="M2903" s="101"/>
      <c r="N2903" s="101"/>
      <c r="O2903" s="101"/>
      <c r="P2903" s="17"/>
      <c r="Q2903" s="17"/>
      <c r="R2903" s="17"/>
      <c r="S2903" s="17"/>
      <c r="T2903" s="17"/>
      <c r="U2903" s="16"/>
      <c r="V2903" s="16"/>
      <c r="W2903" s="66">
        <v>0.41597222222222219</v>
      </c>
      <c r="X2903" s="7">
        <v>36.9</v>
      </c>
      <c r="Y2903" s="7">
        <v>53.65</v>
      </c>
      <c r="Z2903" s="66">
        <v>0.41597222222222219</v>
      </c>
    </row>
    <row r="2904" spans="2:26" x14ac:dyDescent="0.3">
      <c r="B2904" s="16"/>
      <c r="C2904" s="95">
        <v>44336</v>
      </c>
      <c r="D2904" s="17"/>
      <c r="F2904" s="16"/>
      <c r="H2904" s="66">
        <v>0.4236111111111111</v>
      </c>
      <c r="I2904" s="66">
        <v>0.46319444444444446</v>
      </c>
      <c r="J2904" s="66">
        <v>5.9722222222222225E-2</v>
      </c>
      <c r="K2904" s="66" t="s">
        <v>127</v>
      </c>
      <c r="M2904" s="66">
        <v>0.45763888888888887</v>
      </c>
      <c r="N2904" s="66"/>
      <c r="O2904" s="68"/>
      <c r="P2904" s="17"/>
      <c r="Q2904" s="150" t="s">
        <v>72</v>
      </c>
      <c r="R2904" s="151"/>
      <c r="S2904" s="151"/>
      <c r="T2904" s="151"/>
      <c r="U2904" s="152"/>
      <c r="V2904" s="17"/>
      <c r="W2904" s="66">
        <v>0.4368055555555555</v>
      </c>
      <c r="X2904" s="7">
        <v>37.9</v>
      </c>
      <c r="Y2904" s="7">
        <v>46.8</v>
      </c>
      <c r="Z2904" s="66">
        <v>0.4368055555555555</v>
      </c>
    </row>
    <row r="2905" spans="2:26" x14ac:dyDescent="0.3">
      <c r="B2905" s="90" t="s">
        <v>68</v>
      </c>
      <c r="C2905" s="66">
        <v>0.41666666666666669</v>
      </c>
      <c r="D2905" s="66">
        <v>0.39444444444444443</v>
      </c>
      <c r="E2905" s="16">
        <f>F2905-(G2905-F2905)</f>
        <v>40.724999999999994</v>
      </c>
      <c r="F2905" s="16">
        <f>AVERAGE(C2908,C2897)</f>
        <v>63.324999999999996</v>
      </c>
      <c r="G2905" s="16">
        <f>AVERAGE(C2907,C2896)</f>
        <v>85.924999999999997</v>
      </c>
      <c r="H2905" s="23">
        <v>63.3</v>
      </c>
      <c r="I2905" s="7">
        <v>15162.9</v>
      </c>
      <c r="J2905" s="23">
        <v>34</v>
      </c>
      <c r="K2905" s="23">
        <v>41.9</v>
      </c>
      <c r="M2905" s="23">
        <v>39.799999999999997</v>
      </c>
      <c r="N2905" s="7"/>
      <c r="O2905" s="70"/>
      <c r="P2905" s="17"/>
      <c r="Q2905" s="34"/>
      <c r="R2905" s="34" t="s">
        <v>111</v>
      </c>
      <c r="S2905" s="34" t="s">
        <v>2</v>
      </c>
      <c r="T2905" s="34" t="s">
        <v>1</v>
      </c>
      <c r="U2905" s="34" t="s">
        <v>111</v>
      </c>
      <c r="V2905" s="17"/>
      <c r="W2905" s="66">
        <v>0.45763888888888887</v>
      </c>
      <c r="X2905" s="7">
        <v>45.7</v>
      </c>
      <c r="Y2905" s="7">
        <v>40</v>
      </c>
      <c r="Z2905" s="66">
        <v>0.45763888888888887</v>
      </c>
    </row>
    <row r="2906" spans="2:26" x14ac:dyDescent="0.3">
      <c r="B2906" s="5">
        <f>B2907+50</f>
        <v>15150</v>
      </c>
      <c r="C2906" s="7">
        <v>121.15</v>
      </c>
      <c r="D2906" s="7">
        <v>95.25</v>
      </c>
      <c r="E2906" s="16">
        <f>E2905-(F2905-E2905)</f>
        <v>18.124999999999993</v>
      </c>
      <c r="F2906" s="7">
        <f t="shared" ref="F2906:F2911" si="240">B2906-D2906</f>
        <v>15054.75</v>
      </c>
      <c r="G2906" s="16"/>
      <c r="H2906" s="7">
        <v>132.35</v>
      </c>
      <c r="I2906" s="7">
        <v>89</v>
      </c>
      <c r="J2906" s="7">
        <v>84.7</v>
      </c>
      <c r="K2906" s="7">
        <v>106.6</v>
      </c>
      <c r="M2906" s="7">
        <v>96.6</v>
      </c>
      <c r="N2906" s="7"/>
      <c r="O2906" s="70"/>
      <c r="P2906" s="17"/>
      <c r="Q2906" s="7">
        <f>(U2906*T2906)-(R2906*S2906)</f>
        <v>-1143.75</v>
      </c>
      <c r="R2906" s="109">
        <v>75</v>
      </c>
      <c r="S2906" s="7">
        <v>60.15</v>
      </c>
      <c r="T2906" s="18">
        <v>44.9</v>
      </c>
      <c r="U2906" s="109">
        <f>R2906</f>
        <v>75</v>
      </c>
      <c r="V2906" s="16"/>
      <c r="W2906" s="66">
        <v>0.47847222222222219</v>
      </c>
      <c r="X2906" s="7">
        <v>48.05</v>
      </c>
      <c r="Y2906" s="7">
        <v>39.450000000000003</v>
      </c>
      <c r="Z2906" s="66">
        <v>0.47847222222222219</v>
      </c>
    </row>
    <row r="2907" spans="2:26" x14ac:dyDescent="0.3">
      <c r="B2907" s="5">
        <f>B2908+50</f>
        <v>15100</v>
      </c>
      <c r="C2907" s="7">
        <v>94.1</v>
      </c>
      <c r="D2907" s="7">
        <v>72.2</v>
      </c>
      <c r="E2907" s="16"/>
      <c r="F2907" s="7">
        <f t="shared" si="240"/>
        <v>15027.8</v>
      </c>
      <c r="G2907" s="17"/>
      <c r="H2907" s="7">
        <v>103.7</v>
      </c>
      <c r="I2907" s="7">
        <v>67.349999999999994</v>
      </c>
      <c r="J2907" s="7">
        <v>62.7</v>
      </c>
      <c r="K2907" s="7">
        <v>80.849999999999994</v>
      </c>
      <c r="M2907" s="7">
        <v>72.599999999999994</v>
      </c>
      <c r="N2907" s="7"/>
      <c r="O2907" s="70"/>
      <c r="P2907" s="17"/>
      <c r="Q2907" s="7">
        <f>(U2907*T2907)-(R2907*S2907)</f>
        <v>-1368.75</v>
      </c>
      <c r="R2907" s="109">
        <v>75</v>
      </c>
      <c r="S2907" s="7">
        <v>60.15</v>
      </c>
      <c r="T2907" s="18">
        <v>41.9</v>
      </c>
      <c r="U2907" s="109">
        <f>R2907</f>
        <v>75</v>
      </c>
      <c r="V2907" s="16"/>
      <c r="W2907" s="66">
        <v>0.4993055555555555</v>
      </c>
      <c r="X2907" s="7">
        <v>48</v>
      </c>
      <c r="Y2907" s="7">
        <v>38.9</v>
      </c>
      <c r="Z2907" s="66">
        <v>0.4993055555555555</v>
      </c>
    </row>
    <row r="2908" spans="2:26" x14ac:dyDescent="0.3">
      <c r="B2908" s="97">
        <v>15050</v>
      </c>
      <c r="C2908" s="7">
        <v>71.599999999999994</v>
      </c>
      <c r="D2908" s="7">
        <v>53.3</v>
      </c>
      <c r="E2908" s="16"/>
      <c r="F2908" s="7">
        <f t="shared" si="240"/>
        <v>14996.7</v>
      </c>
      <c r="G2908" s="17"/>
      <c r="H2908" s="7">
        <v>79.349999999999994</v>
      </c>
      <c r="I2908" s="7">
        <v>50.6</v>
      </c>
      <c r="J2908" s="7">
        <v>45.75</v>
      </c>
      <c r="K2908" s="7">
        <v>59.1</v>
      </c>
      <c r="M2908" s="7">
        <v>54.5</v>
      </c>
      <c r="N2908" s="7"/>
      <c r="O2908" s="70"/>
      <c r="P2908" s="17"/>
      <c r="Q2908" s="7">
        <f>(U2908*T2908)-(R2908*S2908)</f>
        <v>0</v>
      </c>
      <c r="R2908" s="109"/>
      <c r="S2908" s="18"/>
      <c r="T2908" s="18"/>
      <c r="U2908" s="109">
        <f>R2908</f>
        <v>0</v>
      </c>
      <c r="V2908" s="17"/>
      <c r="W2908" s="66">
        <v>0.52013888888888882</v>
      </c>
      <c r="X2908" s="7">
        <v>43.1</v>
      </c>
      <c r="Y2908" s="7">
        <v>42.5</v>
      </c>
      <c r="Z2908" s="66">
        <v>0.52013888888888882</v>
      </c>
    </row>
    <row r="2909" spans="2:26" x14ac:dyDescent="0.3">
      <c r="B2909" s="14">
        <f>B2908-50</f>
        <v>15000</v>
      </c>
      <c r="C2909" s="51">
        <v>53.65</v>
      </c>
      <c r="D2909" s="7">
        <v>38.4</v>
      </c>
      <c r="E2909" s="16"/>
      <c r="F2909" s="98">
        <f t="shared" si="240"/>
        <v>14961.6</v>
      </c>
      <c r="G2909" s="17">
        <v>50.7</v>
      </c>
      <c r="H2909" s="7">
        <v>60.15</v>
      </c>
      <c r="I2909" s="7">
        <v>37.700000000000003</v>
      </c>
      <c r="J2909" s="7">
        <v>33.4</v>
      </c>
      <c r="K2909" s="7">
        <v>43</v>
      </c>
      <c r="M2909" s="7">
        <v>40</v>
      </c>
      <c r="N2909" s="7"/>
      <c r="O2909" s="70"/>
      <c r="P2909" s="17"/>
      <c r="Q2909" s="7">
        <f>(U2909*T2909)-(R2909*S2909)</f>
        <v>0</v>
      </c>
      <c r="R2909" s="109"/>
      <c r="S2909" s="18"/>
      <c r="T2909" s="18"/>
      <c r="U2909" s="109">
        <f>R2909</f>
        <v>0</v>
      </c>
      <c r="V2909" s="17"/>
      <c r="W2909" s="66">
        <v>0.54097222222222219</v>
      </c>
      <c r="X2909" s="7">
        <v>43.4</v>
      </c>
      <c r="Y2909" s="7">
        <v>41.45</v>
      </c>
      <c r="Z2909" s="66">
        <v>0.54097222222222219</v>
      </c>
    </row>
    <row r="2910" spans="2:26" x14ac:dyDescent="0.3">
      <c r="B2910" s="99">
        <f>B2909-50</f>
        <v>14950</v>
      </c>
      <c r="C2910" s="7">
        <v>39.799999999999997</v>
      </c>
      <c r="D2910" s="7">
        <v>27.35</v>
      </c>
      <c r="E2910" s="16"/>
      <c r="F2910" s="7">
        <f t="shared" si="240"/>
        <v>14922.65</v>
      </c>
      <c r="G2910" s="163">
        <f>AVERAGE(C2909,C2898)</f>
        <v>45.274999999999999</v>
      </c>
      <c r="H2910" s="7">
        <v>44.95</v>
      </c>
      <c r="I2910" s="7">
        <v>28.55</v>
      </c>
      <c r="J2910" s="7">
        <v>24.55</v>
      </c>
      <c r="K2910" s="7">
        <v>31.1</v>
      </c>
      <c r="M2910" s="7">
        <v>30</v>
      </c>
      <c r="N2910" s="7"/>
      <c r="O2910" s="70"/>
      <c r="P2910" s="17"/>
      <c r="Q2910" s="7">
        <f>SUM(Q2906:Q2909)</f>
        <v>-2512.5</v>
      </c>
      <c r="R2910" s="7">
        <f>SUM(R2906:R2909)</f>
        <v>150</v>
      </c>
      <c r="S2910" s="109">
        <f>R2910-U2910</f>
        <v>0</v>
      </c>
      <c r="T2910" s="114" t="e">
        <f>Q2910/S2910</f>
        <v>#DIV/0!</v>
      </c>
      <c r="U2910" s="7">
        <f>SUM(U2906:U2909)</f>
        <v>150</v>
      </c>
      <c r="V2910" s="17"/>
      <c r="W2910" s="66">
        <v>6.1805555555555558E-2</v>
      </c>
      <c r="X2910" s="7">
        <v>48.5</v>
      </c>
      <c r="Y2910" s="7">
        <v>33.700000000000003</v>
      </c>
      <c r="Z2910" s="66">
        <v>6.1805555555555558E-2</v>
      </c>
    </row>
    <row r="2911" spans="2:26" x14ac:dyDescent="0.3">
      <c r="B2911" s="5">
        <f>B2910-50</f>
        <v>14900</v>
      </c>
      <c r="C2911" s="7">
        <v>29.95</v>
      </c>
      <c r="D2911" s="7">
        <v>20.05</v>
      </c>
      <c r="E2911" s="16"/>
      <c r="F2911" s="7">
        <f t="shared" si="240"/>
        <v>14879.95</v>
      </c>
      <c r="G2911" s="17"/>
      <c r="H2911" s="7">
        <v>34</v>
      </c>
      <c r="I2911" s="7">
        <v>22.25</v>
      </c>
      <c r="J2911" s="7">
        <v>18.850000000000001</v>
      </c>
      <c r="K2911" s="7">
        <v>23</v>
      </c>
      <c r="M2911" s="7">
        <v>23.15</v>
      </c>
      <c r="N2911" s="7"/>
      <c r="O2911" s="70"/>
      <c r="W2911" s="66">
        <v>8.2638888888888887E-2</v>
      </c>
      <c r="X2911" s="7">
        <v>46.85</v>
      </c>
      <c r="Y2911" s="7">
        <v>33.299999999999997</v>
      </c>
      <c r="Z2911" s="66">
        <v>8.2638888888888887E-2</v>
      </c>
    </row>
    <row r="2912" spans="2:26" x14ac:dyDescent="0.3">
      <c r="H2912" s="7"/>
      <c r="I2912" s="7"/>
      <c r="J2912" s="7"/>
      <c r="K2912" s="7"/>
      <c r="P2912" s="98">
        <f>Q2910</f>
        <v>-2512.5</v>
      </c>
      <c r="Q2912" s="92" t="s">
        <v>72</v>
      </c>
      <c r="R2912" s="17"/>
      <c r="T2912" s="92" t="s">
        <v>73</v>
      </c>
      <c r="U2912" s="7">
        <f>((X2904+Y2904)-(X2912+Y2912))</f>
        <v>-8.9000000000000057</v>
      </c>
      <c r="V2912" s="98">
        <f>U2912*150</f>
        <v>-1335.0000000000009</v>
      </c>
      <c r="W2912" s="66">
        <v>0.45763888888888887</v>
      </c>
      <c r="X2912" s="7">
        <v>46.8</v>
      </c>
      <c r="Y2912" s="23">
        <v>46.8</v>
      </c>
      <c r="Z2912" s="66">
        <v>0.4236111111111111</v>
      </c>
    </row>
    <row r="2914" spans="2:26" x14ac:dyDescent="0.3">
      <c r="C2914" s="40">
        <f>C2909+C2898</f>
        <v>90.55</v>
      </c>
      <c r="H2914" s="40">
        <f>H2909+H2898</f>
        <v>93.75</v>
      </c>
    </row>
    <row r="2915" spans="2:26" x14ac:dyDescent="0.3">
      <c r="H2915" s="40">
        <f>H2914-H2897</f>
        <v>43.9</v>
      </c>
    </row>
    <row r="2922" spans="2:26" x14ac:dyDescent="0.3">
      <c r="B2922" s="40"/>
      <c r="C2922" s="50">
        <f>AVERAGE(B2923,D2922)</f>
        <v>15166.15</v>
      </c>
      <c r="D2922" s="51">
        <f>B2923+E2923</f>
        <v>15191.15</v>
      </c>
      <c r="E2922" s="50">
        <f>AVERAGE(D2922,F2922)</f>
        <v>15216.15</v>
      </c>
      <c r="F2922" s="50">
        <f>D2922+E2923</f>
        <v>15241.15</v>
      </c>
      <c r="G2922" s="17"/>
      <c r="H2922" s="88" t="str">
        <f>IF((C2931-D2931)&gt;(C2942-D2942),"LONG",IF(C2942&gt;D2940,"LONG","SHORT"))</f>
        <v>LONG</v>
      </c>
      <c r="I2922" s="104">
        <v>15060</v>
      </c>
      <c r="J2922" s="120" t="s">
        <v>122</v>
      </c>
      <c r="K2922" s="106">
        <v>15157</v>
      </c>
      <c r="L2922" s="17"/>
      <c r="N2922" s="17"/>
      <c r="O2922" s="17"/>
      <c r="U2922" s="17"/>
      <c r="V2922" s="17"/>
    </row>
    <row r="2923" spans="2:26" x14ac:dyDescent="0.3">
      <c r="B2923" s="50">
        <v>15141.15</v>
      </c>
      <c r="C2923" s="40"/>
      <c r="D2923" s="58"/>
      <c r="E2923" s="59">
        <f>ROUND((((B2923*F2923%)/4)/10),0)*10</f>
        <v>50</v>
      </c>
      <c r="F2923" s="51">
        <f>(100/B2923)*(F2932-F2943)</f>
        <v>1.4037903329667898</v>
      </c>
      <c r="G2923" s="17"/>
      <c r="H2923" s="93">
        <v>0.39166666666666666</v>
      </c>
      <c r="I2923" s="93">
        <v>0.39861111111111108</v>
      </c>
      <c r="J2923" s="93">
        <v>0.4055555555555555</v>
      </c>
      <c r="K2923" s="93">
        <v>0.41250000000000003</v>
      </c>
      <c r="M2923" s="50">
        <v>10700</v>
      </c>
      <c r="N2923" s="17"/>
      <c r="O2923" s="17"/>
      <c r="U2923" s="17"/>
      <c r="V2923" s="17"/>
      <c r="W2923" s="90" t="s">
        <v>68</v>
      </c>
      <c r="X2923" s="119" t="s">
        <v>69</v>
      </c>
      <c r="Y2923" s="92" t="s">
        <v>70</v>
      </c>
      <c r="Z2923" s="90" t="s">
        <v>68</v>
      </c>
    </row>
    <row r="2924" spans="2:26" x14ac:dyDescent="0.3">
      <c r="B2924" s="40"/>
      <c r="C2924" s="50">
        <f>AVERAGE(B2923,D2924)</f>
        <v>15116.15</v>
      </c>
      <c r="D2924" s="51">
        <f>B2923-E2923</f>
        <v>15091.15</v>
      </c>
      <c r="E2924" s="50">
        <f>AVERAGE(D2924,F2924)</f>
        <v>15066.15</v>
      </c>
      <c r="F2924" s="50">
        <f>D2924-E2923</f>
        <v>15041.15</v>
      </c>
      <c r="G2924" s="17"/>
      <c r="H2924" s="51">
        <v>15103.55</v>
      </c>
      <c r="I2924" s="51">
        <v>15143.95</v>
      </c>
      <c r="J2924" s="51">
        <v>15130.95</v>
      </c>
      <c r="K2924" s="51">
        <v>15149</v>
      </c>
      <c r="L2924" s="17"/>
      <c r="N2924" s="17"/>
      <c r="O2924" s="17"/>
      <c r="Q2924" s="17"/>
      <c r="R2924" s="17"/>
      <c r="S2924" s="17"/>
      <c r="T2924" s="16"/>
      <c r="U2924" s="17"/>
      <c r="V2924" s="17"/>
      <c r="W2924" s="66">
        <v>0.41597222222222219</v>
      </c>
      <c r="X2924" s="7">
        <v>115.65</v>
      </c>
      <c r="Y2924" s="7">
        <v>113.15</v>
      </c>
      <c r="Z2924" s="66">
        <v>0.41597222222222219</v>
      </c>
    </row>
    <row r="2925" spans="2:26" x14ac:dyDescent="0.3">
      <c r="B2925" s="17"/>
      <c r="C2925" s="17"/>
      <c r="D2925" s="17"/>
      <c r="E2925" s="17"/>
      <c r="F2925" s="16"/>
      <c r="G2925" s="16"/>
      <c r="H2925" s="17"/>
      <c r="I2925" s="17"/>
      <c r="J2925" s="17"/>
      <c r="K2925" s="16"/>
      <c r="L2925" s="17"/>
      <c r="M2925" s="17"/>
      <c r="N2925" s="17"/>
      <c r="O2925" s="17"/>
      <c r="Q2925" s="17"/>
      <c r="R2925" s="17"/>
      <c r="S2925" s="17"/>
      <c r="T2925" s="17"/>
      <c r="U2925" s="17"/>
      <c r="V2925" s="17"/>
      <c r="W2925" s="66">
        <v>0.4368055555555555</v>
      </c>
      <c r="X2925" s="7">
        <v>96.05</v>
      </c>
      <c r="Y2925" s="7">
        <v>128.85</v>
      </c>
      <c r="Z2925" s="66">
        <v>0.4368055555555555</v>
      </c>
    </row>
    <row r="2926" spans="2:26" x14ac:dyDescent="0.3">
      <c r="B2926" s="16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Q2926" s="17"/>
      <c r="R2926" s="17"/>
      <c r="S2926" s="17"/>
      <c r="T2926" s="17"/>
      <c r="U2926" s="17"/>
      <c r="V2926" s="17"/>
      <c r="W2926" s="66">
        <v>0.45763888888888887</v>
      </c>
      <c r="X2926" s="7">
        <v>87.7</v>
      </c>
      <c r="Y2926" s="7">
        <v>138.4</v>
      </c>
      <c r="Z2926" s="66">
        <v>0.45763888888888887</v>
      </c>
    </row>
    <row r="2927" spans="2:26" x14ac:dyDescent="0.3">
      <c r="B2927" s="16"/>
      <c r="C2927" s="95">
        <v>44335</v>
      </c>
      <c r="D2927" s="17"/>
      <c r="E2927" s="17"/>
      <c r="F2927" s="7">
        <f>AVERAGE(F2929,F2940)</f>
        <v>15110.325000000001</v>
      </c>
      <c r="G2927" s="96"/>
      <c r="H2927" s="66">
        <v>6.6666666666666666E-2</v>
      </c>
      <c r="I2927" s="66">
        <v>7.4305555555555555E-2</v>
      </c>
      <c r="J2927" s="66">
        <v>0.10416666666666667</v>
      </c>
      <c r="K2927" s="66">
        <v>0.1076388888888889</v>
      </c>
      <c r="L2927" s="66">
        <v>0.13541666666666666</v>
      </c>
      <c r="N2927" s="66">
        <v>0.47013888888888888</v>
      </c>
      <c r="O2927" s="66"/>
      <c r="Q2927" s="17"/>
      <c r="R2927" s="17"/>
      <c r="S2927" s="17"/>
      <c r="T2927" s="17"/>
      <c r="U2927" s="17"/>
      <c r="V2927" s="17"/>
      <c r="W2927" s="66">
        <v>0.47847222222222219</v>
      </c>
      <c r="X2927" s="7">
        <v>82.7</v>
      </c>
      <c r="Y2927" s="7">
        <v>141.44999999999999</v>
      </c>
      <c r="Z2927" s="66">
        <v>0.47847222222222219</v>
      </c>
    </row>
    <row r="2928" spans="2:26" x14ac:dyDescent="0.3">
      <c r="B2928" s="90" t="s">
        <v>68</v>
      </c>
      <c r="C2928" s="66">
        <v>0.41666666666666669</v>
      </c>
      <c r="D2928" s="66">
        <v>0.38611111111111113</v>
      </c>
      <c r="E2928" s="17"/>
      <c r="F2928" s="17"/>
      <c r="G2928" s="17"/>
      <c r="H2928" s="7">
        <v>15080.25</v>
      </c>
      <c r="I2928" s="7">
        <v>15049.95</v>
      </c>
      <c r="J2928" s="23">
        <v>11.7</v>
      </c>
      <c r="K2928" s="7">
        <v>15077.65</v>
      </c>
      <c r="L2928" s="7">
        <v>15064</v>
      </c>
      <c r="N2928" s="23">
        <v>20.9</v>
      </c>
      <c r="O2928" s="7"/>
      <c r="U2928" s="17"/>
      <c r="V2928" s="17"/>
      <c r="W2928" s="66">
        <v>0.4993055555555555</v>
      </c>
      <c r="X2928" s="7">
        <v>91.85</v>
      </c>
      <c r="Y2928" s="7">
        <v>131.6</v>
      </c>
      <c r="Z2928" s="66">
        <v>0.4993055555555555</v>
      </c>
    </row>
    <row r="2929" spans="2:26" x14ac:dyDescent="0.3">
      <c r="B2929" s="5">
        <f>B2930-50</f>
        <v>15050</v>
      </c>
      <c r="C2929" s="7">
        <v>115.65</v>
      </c>
      <c r="D2929" s="7">
        <v>79.599999999999994</v>
      </c>
      <c r="E2929" s="16"/>
      <c r="F2929" s="7">
        <f t="shared" ref="F2929:F2934" si="241">B2929+D2929</f>
        <v>15129.6</v>
      </c>
      <c r="G2929" s="17"/>
      <c r="H2929" s="7">
        <v>73.650000000000006</v>
      </c>
      <c r="I2929" s="7">
        <v>58.75</v>
      </c>
      <c r="J2929" s="7">
        <v>58.05</v>
      </c>
      <c r="K2929" s="7">
        <v>67.25</v>
      </c>
      <c r="L2929" s="7">
        <v>58.6</v>
      </c>
      <c r="N2929" s="7">
        <v>85.2</v>
      </c>
      <c r="O2929" s="7"/>
      <c r="Q2929" s="155" t="s">
        <v>129</v>
      </c>
      <c r="R2929" s="155"/>
      <c r="S2929" s="155"/>
      <c r="T2929" s="155"/>
      <c r="V2929" s="17"/>
      <c r="W2929" s="66">
        <v>0.52013888888888882</v>
      </c>
      <c r="X2929" s="7">
        <v>99.7</v>
      </c>
      <c r="Y2929" s="7">
        <v>120.05</v>
      </c>
      <c r="Z2929" s="66">
        <v>0.52013888888888882</v>
      </c>
    </row>
    <row r="2930" spans="2:26" x14ac:dyDescent="0.3">
      <c r="B2930" s="5">
        <f>B2931-50</f>
        <v>15100</v>
      </c>
      <c r="C2930" s="7">
        <v>83</v>
      </c>
      <c r="D2930" s="7">
        <v>54.15</v>
      </c>
      <c r="E2930" s="16"/>
      <c r="F2930" s="7">
        <f t="shared" si="241"/>
        <v>15154.15</v>
      </c>
      <c r="G2930" s="17"/>
      <c r="H2930" s="7">
        <v>49.8</v>
      </c>
      <c r="I2930" s="7">
        <v>38.65</v>
      </c>
      <c r="J2930" s="7">
        <v>36.5</v>
      </c>
      <c r="K2930" s="7">
        <v>43</v>
      </c>
      <c r="L2930" s="7">
        <v>35.5</v>
      </c>
      <c r="N2930" s="7">
        <v>57.7</v>
      </c>
      <c r="O2930" s="7"/>
      <c r="Q2930" s="164">
        <v>44330</v>
      </c>
      <c r="R2930" s="161">
        <v>14623.8</v>
      </c>
      <c r="S2930" s="161">
        <v>14723.8</v>
      </c>
      <c r="T2930" s="164">
        <v>44330</v>
      </c>
      <c r="V2930" s="17"/>
      <c r="W2930" s="66">
        <v>0.54097222222222219</v>
      </c>
      <c r="X2930" s="7">
        <v>88.4</v>
      </c>
      <c r="Y2930" s="7">
        <v>133</v>
      </c>
      <c r="Z2930" s="66">
        <v>0.54097222222222219</v>
      </c>
    </row>
    <row r="2931" spans="2:26" x14ac:dyDescent="0.3">
      <c r="B2931" s="97">
        <v>15150</v>
      </c>
      <c r="C2931" s="7">
        <v>56.4</v>
      </c>
      <c r="D2931" s="7">
        <v>34.700000000000003</v>
      </c>
      <c r="E2931" s="16"/>
      <c r="F2931" s="7">
        <f t="shared" si="241"/>
        <v>15184.7</v>
      </c>
      <c r="G2931" s="17"/>
      <c r="H2931" s="7">
        <v>31.9</v>
      </c>
      <c r="I2931" s="7">
        <v>23.7</v>
      </c>
      <c r="J2931" s="7">
        <v>21.55</v>
      </c>
      <c r="K2931" s="7">
        <v>25</v>
      </c>
      <c r="L2931" s="7">
        <v>19.100000000000001</v>
      </c>
      <c r="N2931" s="7">
        <v>36.549999999999997</v>
      </c>
      <c r="O2931" s="7"/>
      <c r="Q2931" s="159">
        <v>44328</v>
      </c>
      <c r="R2931" s="161">
        <v>14708</v>
      </c>
      <c r="S2931" s="161">
        <v>14763</v>
      </c>
      <c r="T2931" s="159">
        <v>44328</v>
      </c>
      <c r="V2931" s="17"/>
      <c r="W2931" s="66">
        <v>6.1805555555555558E-2</v>
      </c>
      <c r="X2931" s="7">
        <v>82.75</v>
      </c>
      <c r="Y2931" s="7">
        <v>142.35</v>
      </c>
      <c r="Z2931" s="66">
        <v>6.1805555555555558E-2</v>
      </c>
    </row>
    <row r="2932" spans="2:26" x14ac:dyDescent="0.3">
      <c r="B2932" s="5">
        <f>B2931+50</f>
        <v>15200</v>
      </c>
      <c r="C2932" s="51">
        <v>35.75</v>
      </c>
      <c r="D2932" s="7">
        <v>20.95</v>
      </c>
      <c r="E2932" s="16"/>
      <c r="F2932" s="98">
        <f t="shared" si="241"/>
        <v>15220.95</v>
      </c>
      <c r="G2932" s="17"/>
      <c r="H2932" s="7">
        <v>19.649999999999999</v>
      </c>
      <c r="I2932" s="7">
        <v>14.35</v>
      </c>
      <c r="J2932" s="7">
        <v>11.8</v>
      </c>
      <c r="K2932" s="7">
        <v>13.55</v>
      </c>
      <c r="L2932" s="7">
        <v>9.5500000000000007</v>
      </c>
      <c r="N2932" s="7">
        <v>22.2</v>
      </c>
      <c r="O2932" s="7"/>
      <c r="Q2932" s="159">
        <v>44333</v>
      </c>
      <c r="R2932" s="161">
        <v>14791</v>
      </c>
      <c r="S2932" s="161">
        <v>14933.5</v>
      </c>
      <c r="T2932" s="159">
        <v>44327</v>
      </c>
      <c r="V2932" s="17"/>
      <c r="W2932" s="66">
        <v>8.2638888888888887E-2</v>
      </c>
      <c r="X2932" s="7">
        <v>63.45</v>
      </c>
      <c r="Y2932" s="7">
        <v>176</v>
      </c>
      <c r="Z2932" s="66">
        <v>8.2638888888888887E-2</v>
      </c>
    </row>
    <row r="2933" spans="2:26" x14ac:dyDescent="0.3">
      <c r="B2933" s="99">
        <f>B2932+50</f>
        <v>15250</v>
      </c>
      <c r="C2933" s="7">
        <v>20.9</v>
      </c>
      <c r="D2933" s="7">
        <v>11.7</v>
      </c>
      <c r="E2933" s="16"/>
      <c r="F2933" s="7">
        <f t="shared" si="241"/>
        <v>15261.7</v>
      </c>
      <c r="G2933" s="17"/>
      <c r="H2933" s="7">
        <v>11.7</v>
      </c>
      <c r="I2933" s="7">
        <v>8.5</v>
      </c>
      <c r="J2933" s="7">
        <v>6.35</v>
      </c>
      <c r="K2933" s="7">
        <v>6.7</v>
      </c>
      <c r="L2933" s="7">
        <v>4.45</v>
      </c>
      <c r="N2933" s="7">
        <v>12.85</v>
      </c>
      <c r="O2933" s="7"/>
      <c r="Q2933" s="159">
        <v>44327</v>
      </c>
      <c r="R2933" s="161">
        <v>14843.5</v>
      </c>
      <c r="S2933" s="161">
        <v>14951</v>
      </c>
      <c r="T2933" s="159">
        <v>44333</v>
      </c>
      <c r="V2933" s="17"/>
    </row>
    <row r="2934" spans="2:26" x14ac:dyDescent="0.3">
      <c r="B2934" s="5">
        <f>B2933+50</f>
        <v>15300</v>
      </c>
      <c r="C2934" s="7">
        <v>11.6</v>
      </c>
      <c r="D2934" s="7">
        <v>6.7</v>
      </c>
      <c r="E2934" s="16">
        <f>E2935-(F2935-E2935)</f>
        <v>8.25</v>
      </c>
      <c r="F2934" s="7">
        <f t="shared" si="241"/>
        <v>15306.7</v>
      </c>
      <c r="G2934" s="16"/>
      <c r="H2934" s="7">
        <v>6.9</v>
      </c>
      <c r="I2934" s="7">
        <v>5.35</v>
      </c>
      <c r="J2934" s="7">
        <v>3.7</v>
      </c>
      <c r="K2934" s="7">
        <v>3.65</v>
      </c>
      <c r="L2934" s="7">
        <v>2.95</v>
      </c>
      <c r="N2934" s="7">
        <v>7.45</v>
      </c>
      <c r="O2934" s="7"/>
      <c r="Q2934" s="159">
        <v>44334</v>
      </c>
      <c r="R2934" s="161">
        <v>15105.5</v>
      </c>
      <c r="S2934" s="161">
        <v>15140.5</v>
      </c>
      <c r="T2934" s="159">
        <v>44334</v>
      </c>
      <c r="V2934" s="17"/>
    </row>
    <row r="2935" spans="2:26" x14ac:dyDescent="0.3">
      <c r="B2935" s="17"/>
      <c r="C2935" s="17"/>
      <c r="D2935" s="16"/>
      <c r="E2935" s="16">
        <f>F2935-(G2935-F2935)</f>
        <v>33.25</v>
      </c>
      <c r="F2935" s="16">
        <f>AVERAGE(C2931,C2942)</f>
        <v>58.25</v>
      </c>
      <c r="G2935" s="16">
        <f>AVERAGE(C2930,C2941)</f>
        <v>83.25</v>
      </c>
      <c r="H2935" s="7"/>
      <c r="I2935" s="7"/>
      <c r="J2935" s="7"/>
      <c r="K2935" s="7"/>
      <c r="L2935" s="7"/>
      <c r="P2935" s="17"/>
      <c r="V2935" s="16"/>
    </row>
    <row r="2936" spans="2:26" x14ac:dyDescent="0.3">
      <c r="B2936" s="17"/>
      <c r="C2936" s="17"/>
      <c r="D2936" s="16"/>
      <c r="E2936" s="16"/>
      <c r="F2936" s="16"/>
      <c r="G2936" s="16"/>
      <c r="P2936" s="17"/>
      <c r="Q2936" s="17"/>
      <c r="R2936" s="17"/>
      <c r="S2936" s="17"/>
      <c r="T2936" s="16"/>
      <c r="V2936" s="16"/>
      <c r="W2936" s="90" t="s">
        <v>68</v>
      </c>
      <c r="X2936" s="119" t="s">
        <v>69</v>
      </c>
      <c r="Y2936" s="92" t="s">
        <v>70</v>
      </c>
      <c r="Z2936" s="90" t="s">
        <v>68</v>
      </c>
    </row>
    <row r="2937" spans="2:26" x14ac:dyDescent="0.3">
      <c r="B2937" s="17"/>
      <c r="C2937" s="17"/>
      <c r="D2937" s="16"/>
      <c r="E2937" s="16"/>
      <c r="F2937" s="16"/>
      <c r="G2937" s="16"/>
      <c r="H2937" s="101"/>
      <c r="I2937" s="101"/>
      <c r="J2937" s="101"/>
      <c r="K2937" s="101"/>
      <c r="L2937" s="101"/>
      <c r="N2937" s="101"/>
      <c r="O2937" s="101"/>
      <c r="P2937" s="17"/>
      <c r="Q2937" s="17"/>
      <c r="R2937" s="17"/>
      <c r="S2937" s="17"/>
      <c r="T2937" s="16"/>
      <c r="V2937" s="16"/>
      <c r="W2937" s="66">
        <v>0.41597222222222219</v>
      </c>
      <c r="X2937" s="7">
        <v>35.75</v>
      </c>
      <c r="Y2937" s="7">
        <v>42.75</v>
      </c>
      <c r="Z2937" s="66">
        <v>0.41597222222222219</v>
      </c>
    </row>
    <row r="2938" spans="2:26" x14ac:dyDescent="0.3">
      <c r="B2938" s="16"/>
      <c r="C2938" s="95">
        <v>44336</v>
      </c>
      <c r="D2938" s="17"/>
      <c r="F2938" s="16"/>
      <c r="H2938" s="66">
        <v>6.6666666666666666E-2</v>
      </c>
      <c r="I2938" s="66">
        <v>7.4305555555555555E-2</v>
      </c>
      <c r="J2938" s="66">
        <v>0.10416666666666667</v>
      </c>
      <c r="K2938" s="66">
        <v>0.1076388888888889</v>
      </c>
      <c r="L2938" s="66">
        <v>0.13541666666666666</v>
      </c>
      <c r="N2938" s="66">
        <v>0.47013888888888888</v>
      </c>
      <c r="O2938" s="66"/>
      <c r="P2938" s="17"/>
      <c r="Q2938" s="155" t="s">
        <v>72</v>
      </c>
      <c r="R2938" s="155"/>
      <c r="S2938" s="155"/>
      <c r="T2938" s="155"/>
      <c r="V2938" s="17"/>
      <c r="W2938" s="66">
        <v>0.4368055555555555</v>
      </c>
      <c r="X2938" s="7">
        <v>26</v>
      </c>
      <c r="Y2938" s="7">
        <v>48.7</v>
      </c>
      <c r="Z2938" s="66">
        <v>0.4368055555555555</v>
      </c>
    </row>
    <row r="2939" spans="2:26" x14ac:dyDescent="0.3">
      <c r="B2939" s="90" t="s">
        <v>68</v>
      </c>
      <c r="C2939" s="66">
        <v>0.41666666666666669</v>
      </c>
      <c r="D2939" s="66">
        <v>0.41250000000000003</v>
      </c>
      <c r="E2939" s="16">
        <f>F2939-(G2939-F2939)</f>
        <v>33.25</v>
      </c>
      <c r="F2939" s="16">
        <f>AVERAGE(C2942,C2931)</f>
        <v>58.25</v>
      </c>
      <c r="G2939" s="16">
        <f>AVERAGE(C2941,C2930)</f>
        <v>83.25</v>
      </c>
      <c r="H2939" s="23">
        <v>58.25</v>
      </c>
      <c r="I2939" s="23">
        <v>83.25</v>
      </c>
      <c r="J2939" s="7">
        <v>15053</v>
      </c>
      <c r="K2939" s="23">
        <v>58</v>
      </c>
      <c r="L2939" s="7">
        <v>15064</v>
      </c>
      <c r="N2939" s="7">
        <v>15102.45</v>
      </c>
      <c r="O2939" s="7"/>
      <c r="P2939" s="17"/>
      <c r="Q2939" s="34"/>
      <c r="R2939" s="34" t="s">
        <v>111</v>
      </c>
      <c r="S2939" s="34" t="s">
        <v>2</v>
      </c>
      <c r="T2939" s="34" t="s">
        <v>1</v>
      </c>
      <c r="V2939" s="17"/>
      <c r="W2939" s="66">
        <v>0.45763888888888887</v>
      </c>
      <c r="X2939" s="7">
        <v>23.15</v>
      </c>
      <c r="Y2939" s="7">
        <v>52.8</v>
      </c>
      <c r="Z2939" s="66">
        <v>0.45763888888888887</v>
      </c>
    </row>
    <row r="2940" spans="2:26" x14ac:dyDescent="0.3">
      <c r="B2940" s="5">
        <f>B2941+50</f>
        <v>15200</v>
      </c>
      <c r="C2940" s="7">
        <v>113.15</v>
      </c>
      <c r="D2940" s="7">
        <v>108.95</v>
      </c>
      <c r="E2940" s="16">
        <f>E2939-(F2939-E2939)</f>
        <v>8.25</v>
      </c>
      <c r="F2940" s="7">
        <f t="shared" ref="F2940:F2945" si="242">B2940-D2940</f>
        <v>15091.05</v>
      </c>
      <c r="G2940" s="16"/>
      <c r="H2940" s="7">
        <v>158.65</v>
      </c>
      <c r="I2940" s="7">
        <v>181.85</v>
      </c>
      <c r="J2940" s="7">
        <v>177.4</v>
      </c>
      <c r="K2940" s="7">
        <v>155.9</v>
      </c>
      <c r="L2940" s="7">
        <v>164.5</v>
      </c>
      <c r="N2940" s="7">
        <v>140.1</v>
      </c>
      <c r="O2940" s="7"/>
      <c r="P2940" s="17"/>
      <c r="Q2940" s="7">
        <f>(R2940)*(T2940-S2940)</f>
        <v>1571.2500000000002</v>
      </c>
      <c r="R2940" s="109">
        <v>75</v>
      </c>
      <c r="S2940" s="7">
        <v>62.3</v>
      </c>
      <c r="T2940" s="18">
        <v>83.25</v>
      </c>
      <c r="V2940" s="16"/>
      <c r="W2940" s="66">
        <v>0.47847222222222219</v>
      </c>
      <c r="X2940" s="7">
        <v>20.45</v>
      </c>
      <c r="Y2940" s="7">
        <v>53.5</v>
      </c>
      <c r="Z2940" s="66">
        <v>0.47847222222222219</v>
      </c>
    </row>
    <row r="2941" spans="2:26" x14ac:dyDescent="0.3">
      <c r="B2941" s="5">
        <f>B2942+50</f>
        <v>15150</v>
      </c>
      <c r="C2941" s="7">
        <v>83.5</v>
      </c>
      <c r="D2941" s="7">
        <v>80.55</v>
      </c>
      <c r="E2941" s="16"/>
      <c r="F2941" s="7">
        <f t="shared" si="242"/>
        <v>15069.45</v>
      </c>
      <c r="G2941" s="17"/>
      <c r="H2941" s="7">
        <v>121.05</v>
      </c>
      <c r="I2941" s="7">
        <v>141.30000000000001</v>
      </c>
      <c r="J2941" s="7">
        <v>136.55000000000001</v>
      </c>
      <c r="K2941" s="7">
        <v>117.4</v>
      </c>
      <c r="L2941" s="7">
        <v>124.35</v>
      </c>
      <c r="N2941" s="7">
        <v>104.55</v>
      </c>
      <c r="O2941" s="7"/>
      <c r="P2941" s="17"/>
      <c r="Q2941" s="7">
        <f t="shared" ref="Q2941:Q2943" si="243">(R2941)*(T2941-S2941)</f>
        <v>-322.49999999999977</v>
      </c>
      <c r="R2941" s="109">
        <v>75</v>
      </c>
      <c r="S2941" s="7">
        <v>62.3</v>
      </c>
      <c r="T2941" s="18">
        <v>58</v>
      </c>
      <c r="V2941" s="16"/>
      <c r="W2941" s="66">
        <v>0.4993055555555555</v>
      </c>
      <c r="X2941" s="7">
        <v>24.25</v>
      </c>
      <c r="Y2941" s="7">
        <v>48.8</v>
      </c>
      <c r="Z2941" s="66">
        <v>0.4993055555555555</v>
      </c>
    </row>
    <row r="2942" spans="2:26" x14ac:dyDescent="0.3">
      <c r="B2942" s="97">
        <v>15100</v>
      </c>
      <c r="C2942" s="7">
        <v>60.1</v>
      </c>
      <c r="D2942" s="7">
        <v>58.3</v>
      </c>
      <c r="E2942" s="16"/>
      <c r="F2942" s="7">
        <f t="shared" si="242"/>
        <v>15041.7</v>
      </c>
      <c r="G2942" s="17"/>
      <c r="H2942" s="7">
        <v>88.55</v>
      </c>
      <c r="I2942" s="7">
        <v>105.6</v>
      </c>
      <c r="J2942" s="7">
        <v>101.9</v>
      </c>
      <c r="K2942" s="7">
        <v>84.45</v>
      </c>
      <c r="L2942" s="7">
        <v>90.6</v>
      </c>
      <c r="N2942" s="7">
        <v>75.400000000000006</v>
      </c>
      <c r="O2942" s="7"/>
      <c r="P2942" s="17"/>
      <c r="Q2942" s="7">
        <f t="shared" si="243"/>
        <v>0</v>
      </c>
      <c r="R2942" s="109"/>
      <c r="S2942" s="18"/>
      <c r="T2942" s="18"/>
      <c r="V2942" s="17"/>
      <c r="W2942" s="66">
        <v>0.52013888888888882</v>
      </c>
      <c r="X2942" s="7">
        <v>27.1</v>
      </c>
      <c r="Y2942" s="7">
        <v>42.2</v>
      </c>
      <c r="Z2942" s="66">
        <v>0.52013888888888882</v>
      </c>
    </row>
    <row r="2943" spans="2:26" x14ac:dyDescent="0.3">
      <c r="B2943" s="14">
        <f>B2942-50</f>
        <v>15050</v>
      </c>
      <c r="C2943" s="51">
        <v>42.75</v>
      </c>
      <c r="D2943" s="7">
        <v>41.6</v>
      </c>
      <c r="E2943" s="16"/>
      <c r="F2943" s="98">
        <f t="shared" si="242"/>
        <v>15008.4</v>
      </c>
      <c r="G2943" s="16">
        <v>38.1</v>
      </c>
      <c r="H2943" s="7">
        <v>62.3</v>
      </c>
      <c r="I2943" s="7">
        <v>75.650000000000006</v>
      </c>
      <c r="J2943" s="7">
        <v>73.2</v>
      </c>
      <c r="K2943" s="7">
        <v>59.25</v>
      </c>
      <c r="L2943" s="7">
        <v>63.75</v>
      </c>
      <c r="N2943" s="7">
        <v>52.8</v>
      </c>
      <c r="O2943" s="7"/>
      <c r="P2943" s="17"/>
      <c r="Q2943" s="7">
        <f t="shared" si="243"/>
        <v>0</v>
      </c>
      <c r="R2943" s="109"/>
      <c r="S2943" s="18"/>
      <c r="T2943" s="18"/>
      <c r="V2943" s="17"/>
      <c r="W2943" s="66">
        <v>0.54097222222222219</v>
      </c>
      <c r="X2943" s="7">
        <v>23.8</v>
      </c>
      <c r="Y2943" s="7">
        <v>47.5</v>
      </c>
      <c r="Z2943" s="66">
        <v>0.54097222222222219</v>
      </c>
    </row>
    <row r="2944" spans="2:26" x14ac:dyDescent="0.3">
      <c r="B2944" s="99">
        <f>B2943-50</f>
        <v>15000</v>
      </c>
      <c r="C2944" s="7">
        <v>30</v>
      </c>
      <c r="D2944" s="7">
        <v>29.4</v>
      </c>
      <c r="E2944" s="16"/>
      <c r="F2944" s="7">
        <f t="shared" si="242"/>
        <v>14970.6</v>
      </c>
      <c r="G2944" s="16">
        <f>AVERAGE(C2943,C2932)</f>
        <v>39.25</v>
      </c>
      <c r="H2944" s="7">
        <v>41.95</v>
      </c>
      <c r="I2944" s="7">
        <v>52.1</v>
      </c>
      <c r="J2944" s="7">
        <v>50.55</v>
      </c>
      <c r="K2944" s="7">
        <v>39.299999999999997</v>
      </c>
      <c r="L2944" s="7">
        <v>43</v>
      </c>
      <c r="N2944" s="7">
        <v>35.85</v>
      </c>
      <c r="O2944" s="7"/>
      <c r="P2944" s="17"/>
      <c r="Q2944" s="7">
        <f>SUM(Q2940:Q2943)</f>
        <v>1248.7500000000005</v>
      </c>
      <c r="R2944" s="7"/>
      <c r="S2944" s="109"/>
      <c r="T2944" s="114"/>
      <c r="V2944" s="17"/>
      <c r="W2944" s="66">
        <v>6.1805555555555558E-2</v>
      </c>
      <c r="X2944" s="7">
        <v>22</v>
      </c>
      <c r="Y2944" s="7">
        <v>52.25</v>
      </c>
      <c r="Z2944" s="66">
        <v>6.1805555555555558E-2</v>
      </c>
    </row>
    <row r="2945" spans="2:26" x14ac:dyDescent="0.3">
      <c r="B2945" s="5">
        <f>B2944-50</f>
        <v>14950</v>
      </c>
      <c r="C2945" s="7">
        <v>21.3</v>
      </c>
      <c r="D2945" s="7">
        <v>20.65</v>
      </c>
      <c r="E2945" s="16"/>
      <c r="F2945" s="7">
        <f t="shared" si="242"/>
        <v>14929.35</v>
      </c>
      <c r="G2945" s="17"/>
      <c r="H2945" s="7">
        <v>27.4</v>
      </c>
      <c r="I2945" s="7">
        <v>34.5</v>
      </c>
      <c r="J2945" s="7">
        <v>33.299999999999997</v>
      </c>
      <c r="K2945" s="7">
        <v>25.25</v>
      </c>
      <c r="L2945" s="7">
        <v>28.35</v>
      </c>
      <c r="N2945" s="7">
        <v>24.05</v>
      </c>
      <c r="O2945" s="7"/>
      <c r="W2945" s="66">
        <v>8.2638888888888887E-2</v>
      </c>
      <c r="X2945" s="7">
        <v>16.2</v>
      </c>
      <c r="Y2945" s="7">
        <v>74.099999999999994</v>
      </c>
      <c r="Z2945" s="66">
        <v>8.2638888888888887E-2</v>
      </c>
    </row>
    <row r="2946" spans="2:26" x14ac:dyDescent="0.3">
      <c r="H2946" s="7"/>
      <c r="I2946" s="7"/>
      <c r="J2946" s="7"/>
      <c r="K2946" s="7"/>
      <c r="L2946" s="7"/>
      <c r="P2946" s="98">
        <f>Q2944</f>
        <v>1248.7500000000005</v>
      </c>
      <c r="Q2946" s="92" t="s">
        <v>72</v>
      </c>
      <c r="R2946" s="17"/>
      <c r="T2946" s="92" t="s">
        <v>73</v>
      </c>
      <c r="U2946" s="7">
        <f>((X2938+Y2938)-(X2946+Y2946))</f>
        <v>0.70000000000000284</v>
      </c>
      <c r="V2946" s="98">
        <f>U2946*150</f>
        <v>105.00000000000043</v>
      </c>
      <c r="W2946" s="66">
        <v>0.10416666666666667</v>
      </c>
      <c r="X2946" s="7">
        <v>11.7</v>
      </c>
      <c r="Y2946" s="23">
        <v>62.3</v>
      </c>
      <c r="Z2946" s="66">
        <v>6.6666666666666666E-2</v>
      </c>
    </row>
    <row r="2956" spans="2:26" x14ac:dyDescent="0.3">
      <c r="B2956" s="40"/>
      <c r="C2956" s="50">
        <f>AVERAGE(B2957,D2956)</f>
        <v>15074.1</v>
      </c>
      <c r="D2956" s="51">
        <f>B2957+E2957</f>
        <v>15124.1</v>
      </c>
      <c r="E2956" s="50">
        <f>AVERAGE(D2956,F2956)</f>
        <v>15174.1</v>
      </c>
      <c r="F2956" s="50">
        <f>D2956+E2957</f>
        <v>15224.1</v>
      </c>
      <c r="G2956" s="17"/>
      <c r="H2956" s="88" t="str">
        <f>IF((C2965-D2965)&gt;(C2976-D2976),"LONG",IF(C2976&gt;D2974,"LONG","SHORT"))</f>
        <v>SHORT</v>
      </c>
      <c r="I2956" s="104">
        <v>14978</v>
      </c>
      <c r="J2956" s="120" t="s">
        <v>122</v>
      </c>
      <c r="K2956" s="106">
        <v>15084</v>
      </c>
      <c r="L2956" s="17"/>
      <c r="N2956" s="17"/>
      <c r="O2956" s="17"/>
      <c r="U2956" s="17"/>
      <c r="V2956" s="17"/>
    </row>
    <row r="2957" spans="2:26" x14ac:dyDescent="0.3">
      <c r="B2957" s="50">
        <v>15024.1</v>
      </c>
      <c r="C2957" s="40"/>
      <c r="D2957" s="58"/>
      <c r="E2957" s="59">
        <f>ROUND((((B2957*F2957%)/4)/10),0)*10</f>
        <v>100</v>
      </c>
      <c r="F2957" s="51">
        <f>(100/B2957)*(F2966-F2977)</f>
        <v>2.7232912453990563</v>
      </c>
      <c r="G2957" s="17"/>
      <c r="H2957" s="93">
        <v>0.39166666666666666</v>
      </c>
      <c r="I2957" s="93">
        <v>0.39861111111111108</v>
      </c>
      <c r="J2957" s="93">
        <v>0.4055555555555555</v>
      </c>
      <c r="K2957" s="93">
        <v>0.41250000000000003</v>
      </c>
      <c r="M2957" s="50">
        <v>10100</v>
      </c>
      <c r="N2957" s="17"/>
      <c r="O2957" s="17"/>
      <c r="U2957" s="17"/>
      <c r="V2957" s="17"/>
      <c r="W2957" s="90" t="s">
        <v>68</v>
      </c>
      <c r="X2957" s="119" t="s">
        <v>69</v>
      </c>
      <c r="Y2957" s="92" t="s">
        <v>70</v>
      </c>
      <c r="Z2957" s="90" t="s">
        <v>68</v>
      </c>
    </row>
    <row r="2958" spans="2:26" x14ac:dyDescent="0.3">
      <c r="B2958" s="40"/>
      <c r="C2958" s="50">
        <f>AVERAGE(B2957,D2958)</f>
        <v>14974.1</v>
      </c>
      <c r="D2958" s="51">
        <f>B2957-E2957</f>
        <v>14924.1</v>
      </c>
      <c r="E2958" s="50">
        <f>AVERAGE(D2958,F2958)</f>
        <v>14874.1</v>
      </c>
      <c r="F2958" s="50">
        <f>D2958-E2957</f>
        <v>14824.1</v>
      </c>
      <c r="G2958" s="17"/>
      <c r="H2958" s="51">
        <v>15062</v>
      </c>
      <c r="I2958" s="51">
        <v>14987.1</v>
      </c>
      <c r="J2958" s="51">
        <v>15019.25</v>
      </c>
      <c r="K2958" s="51">
        <v>15021.45</v>
      </c>
      <c r="L2958" s="17"/>
      <c r="N2958" s="17"/>
      <c r="O2958" s="17"/>
      <c r="Q2958" s="17"/>
      <c r="R2958" s="17"/>
      <c r="S2958" s="17"/>
      <c r="T2958" s="16"/>
      <c r="U2958" s="17"/>
      <c r="V2958" s="17"/>
      <c r="W2958" s="66">
        <v>0.41597222222222219</v>
      </c>
      <c r="X2958" s="7">
        <v>131.15</v>
      </c>
      <c r="Y2958" s="7">
        <v>135.6</v>
      </c>
      <c r="Z2958" s="66">
        <v>0.41597222222222219</v>
      </c>
    </row>
    <row r="2959" spans="2:26" x14ac:dyDescent="0.3">
      <c r="B2959" s="17"/>
      <c r="C2959" s="17"/>
      <c r="D2959" s="17"/>
      <c r="E2959" s="17"/>
      <c r="F2959" s="16"/>
      <c r="G2959" s="16"/>
      <c r="H2959" s="17"/>
      <c r="I2959" s="17"/>
      <c r="J2959" s="17"/>
      <c r="K2959" s="16"/>
      <c r="L2959" s="17"/>
      <c r="M2959" s="17"/>
      <c r="N2959" s="17"/>
      <c r="O2959" s="17"/>
      <c r="Q2959" s="17"/>
      <c r="R2959" s="17"/>
      <c r="S2959" s="17"/>
      <c r="T2959" s="17"/>
      <c r="U2959" s="17"/>
      <c r="V2959" s="17"/>
      <c r="W2959" s="66">
        <v>0.4368055555555555</v>
      </c>
      <c r="X2959" s="7">
        <v>130</v>
      </c>
      <c r="Y2959" s="7">
        <v>133.4</v>
      </c>
      <c r="Z2959" s="66">
        <v>0.4368055555555555</v>
      </c>
    </row>
    <row r="2960" spans="2:26" x14ac:dyDescent="0.3">
      <c r="B2960" s="16"/>
      <c r="C2960" s="17"/>
      <c r="D2960" s="17"/>
      <c r="E2960" s="17"/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Q2960" s="17"/>
      <c r="R2960" s="17"/>
      <c r="S2960" s="17"/>
      <c r="T2960" s="17"/>
      <c r="U2960" s="17"/>
      <c r="V2960" s="17"/>
      <c r="W2960" s="66">
        <v>0.45763888888888887</v>
      </c>
      <c r="X2960" s="7">
        <v>126.75</v>
      </c>
      <c r="Y2960" s="7">
        <v>135.5</v>
      </c>
      <c r="Z2960" s="66">
        <v>0.45763888888888887</v>
      </c>
    </row>
    <row r="2961" spans="2:26" x14ac:dyDescent="0.3">
      <c r="B2961" s="16"/>
      <c r="C2961" s="95">
        <v>44336</v>
      </c>
      <c r="D2961" s="17"/>
      <c r="E2961" s="17"/>
      <c r="F2961" s="7">
        <f>AVERAGE(F2963,F2974)</f>
        <v>15029.55</v>
      </c>
      <c r="G2961" s="96"/>
      <c r="H2961" s="66">
        <v>6.25E-2</v>
      </c>
      <c r="I2961" s="66">
        <v>0.11875000000000001</v>
      </c>
      <c r="J2961" s="66">
        <v>0.12083333333333333</v>
      </c>
      <c r="K2961" s="66"/>
      <c r="L2961" s="66">
        <v>0.13541666666666666</v>
      </c>
      <c r="N2961" s="66">
        <v>9.3055555555555558E-2</v>
      </c>
      <c r="O2961" s="66"/>
      <c r="Q2961" s="17"/>
      <c r="R2961" s="17"/>
      <c r="S2961" s="17"/>
      <c r="T2961" s="17"/>
      <c r="U2961" s="17"/>
      <c r="V2961" s="17"/>
      <c r="W2961" s="66">
        <v>0.47847222222222219</v>
      </c>
      <c r="X2961" s="7">
        <v>125.5</v>
      </c>
      <c r="Y2961" s="7">
        <v>136.80000000000001</v>
      </c>
      <c r="Z2961" s="66">
        <v>0.47847222222222219</v>
      </c>
    </row>
    <row r="2962" spans="2:26" x14ac:dyDescent="0.3">
      <c r="B2962" s="90" t="s">
        <v>68</v>
      </c>
      <c r="C2962" s="66">
        <v>0.41666666666666669</v>
      </c>
      <c r="D2962" s="66">
        <v>0.3972222222222222</v>
      </c>
      <c r="E2962" s="17"/>
      <c r="F2962" s="17"/>
      <c r="G2962" s="17"/>
      <c r="H2962" s="7">
        <v>14989.5</v>
      </c>
      <c r="I2962" s="7">
        <v>14943.35</v>
      </c>
      <c r="J2962" s="23">
        <v>41.4</v>
      </c>
      <c r="K2962" s="7"/>
      <c r="L2962" s="7">
        <v>14939.55</v>
      </c>
      <c r="N2962" s="23">
        <v>50.75</v>
      </c>
      <c r="O2962" s="7"/>
      <c r="U2962" s="17"/>
      <c r="V2962" s="17"/>
      <c r="W2962" s="66">
        <v>0.4993055555555555</v>
      </c>
      <c r="X2962" s="7">
        <v>127.6</v>
      </c>
      <c r="Y2962" s="7">
        <v>132.1</v>
      </c>
      <c r="Z2962" s="66">
        <v>0.4993055555555555</v>
      </c>
    </row>
    <row r="2963" spans="2:26" x14ac:dyDescent="0.3">
      <c r="B2963" s="5">
        <f>B2964-50</f>
        <v>15000</v>
      </c>
      <c r="C2963" s="7">
        <v>159.30000000000001</v>
      </c>
      <c r="D2963" s="7">
        <v>144.1</v>
      </c>
      <c r="E2963" s="16"/>
      <c r="F2963" s="7">
        <f t="shared" ref="F2963:F2968" si="244">B2963+D2963</f>
        <v>15144.1</v>
      </c>
      <c r="G2963" s="17"/>
      <c r="H2963" s="7">
        <v>137</v>
      </c>
      <c r="I2963" s="7">
        <v>116.95</v>
      </c>
      <c r="J2963" s="7">
        <v>109.75</v>
      </c>
      <c r="K2963" s="7"/>
      <c r="L2963" s="7">
        <v>113.5</v>
      </c>
      <c r="N2963" s="7">
        <v>133.55000000000001</v>
      </c>
      <c r="O2963" s="7"/>
      <c r="Q2963" s="150" t="s">
        <v>129</v>
      </c>
      <c r="R2963" s="151"/>
      <c r="S2963" s="151"/>
      <c r="T2963" s="151"/>
      <c r="V2963" s="17"/>
      <c r="W2963" s="66">
        <v>0.52013888888888882</v>
      </c>
      <c r="X2963" s="7">
        <v>118.5</v>
      </c>
      <c r="Y2963" s="7">
        <v>144.80000000000001</v>
      </c>
      <c r="Z2963" s="66">
        <v>0.52013888888888882</v>
      </c>
    </row>
    <row r="2964" spans="2:26" x14ac:dyDescent="0.3">
      <c r="B2964" s="5">
        <f>B2965-50</f>
        <v>15050</v>
      </c>
      <c r="C2964" s="7">
        <v>131.15</v>
      </c>
      <c r="D2964" s="7">
        <v>118.4</v>
      </c>
      <c r="E2964" s="16"/>
      <c r="F2964" s="7">
        <f t="shared" si="244"/>
        <v>15168.4</v>
      </c>
      <c r="G2964" s="17"/>
      <c r="H2964" s="7">
        <v>112</v>
      </c>
      <c r="I2964" s="7">
        <v>94.3</v>
      </c>
      <c r="J2964" s="7">
        <v>88.95</v>
      </c>
      <c r="K2964" s="7"/>
      <c r="L2964" s="7">
        <v>91</v>
      </c>
      <c r="N2964" s="7">
        <v>109.6</v>
      </c>
      <c r="O2964" s="7"/>
      <c r="P2964" s="17"/>
      <c r="Q2964" s="159">
        <v>44330</v>
      </c>
      <c r="R2964" s="161">
        <v>14623.8</v>
      </c>
      <c r="S2964" s="161">
        <v>14723.8</v>
      </c>
      <c r="T2964" s="159">
        <v>44330</v>
      </c>
      <c r="V2964" s="17"/>
      <c r="W2964" s="66">
        <v>0.54097222222222219</v>
      </c>
      <c r="X2964" s="7">
        <v>121.9</v>
      </c>
      <c r="Y2964" s="7">
        <v>139.80000000000001</v>
      </c>
      <c r="Z2964" s="66">
        <v>0.54097222222222219</v>
      </c>
    </row>
    <row r="2965" spans="2:26" x14ac:dyDescent="0.3">
      <c r="B2965" s="97">
        <v>15100</v>
      </c>
      <c r="C2965" s="7">
        <v>106.7</v>
      </c>
      <c r="D2965" s="7">
        <v>95.05</v>
      </c>
      <c r="E2965" s="16"/>
      <c r="F2965" s="7">
        <f t="shared" si="244"/>
        <v>15195.05</v>
      </c>
      <c r="G2965" s="17"/>
      <c r="H2965" s="7">
        <v>89.55</v>
      </c>
      <c r="I2965" s="7">
        <v>74.2</v>
      </c>
      <c r="J2965" s="7">
        <v>69.650000000000006</v>
      </c>
      <c r="K2965" s="7"/>
      <c r="L2965" s="7">
        <v>71.2</v>
      </c>
      <c r="N2965" s="7">
        <v>87</v>
      </c>
      <c r="O2965" s="7"/>
      <c r="P2965" s="17"/>
      <c r="Q2965" s="159">
        <v>44328</v>
      </c>
      <c r="R2965" s="161">
        <v>14708</v>
      </c>
      <c r="S2965" s="161">
        <v>14763</v>
      </c>
      <c r="T2965" s="159">
        <v>44328</v>
      </c>
      <c r="V2965" s="17"/>
      <c r="W2965" s="66">
        <v>6.1805555555555558E-2</v>
      </c>
      <c r="X2965" s="7">
        <v>116.45</v>
      </c>
      <c r="Y2965" s="7">
        <v>143.30000000000001</v>
      </c>
      <c r="Z2965" s="66">
        <v>6.1805555555555558E-2</v>
      </c>
    </row>
    <row r="2966" spans="2:26" x14ac:dyDescent="0.3">
      <c r="B2966" s="5">
        <f>B2965+50</f>
        <v>15150</v>
      </c>
      <c r="C2966" s="7">
        <v>84.7</v>
      </c>
      <c r="D2966" s="7">
        <v>75.599999999999994</v>
      </c>
      <c r="E2966" s="16"/>
      <c r="F2966" s="98">
        <f t="shared" si="244"/>
        <v>15225.6</v>
      </c>
      <c r="G2966" s="17"/>
      <c r="H2966" s="7">
        <v>70.5</v>
      </c>
      <c r="I2966" s="7">
        <v>58.15</v>
      </c>
      <c r="J2966" s="7">
        <v>54.6</v>
      </c>
      <c r="K2966" s="7"/>
      <c r="L2966" s="7">
        <v>55.65</v>
      </c>
      <c r="N2966" s="7">
        <v>68.150000000000006</v>
      </c>
      <c r="O2966" s="7"/>
      <c r="P2966" s="17"/>
      <c r="Q2966" s="159">
        <v>44333</v>
      </c>
      <c r="R2966" s="161">
        <v>14791</v>
      </c>
      <c r="S2966" s="161">
        <v>14951</v>
      </c>
      <c r="T2966" s="159">
        <v>44333</v>
      </c>
      <c r="V2966" s="17"/>
      <c r="W2966" s="66">
        <v>8.2638888888888887E-2</v>
      </c>
      <c r="X2966" s="7">
        <v>113.45</v>
      </c>
      <c r="Y2966" s="7">
        <v>142.19999999999999</v>
      </c>
      <c r="Z2966" s="66">
        <v>8.2638888888888887E-2</v>
      </c>
    </row>
    <row r="2967" spans="2:26" x14ac:dyDescent="0.3">
      <c r="B2967" s="99">
        <f>B2966+50</f>
        <v>15200</v>
      </c>
      <c r="C2967" s="51">
        <v>66.05</v>
      </c>
      <c r="D2967" s="7">
        <v>58.65</v>
      </c>
      <c r="E2967" s="16"/>
      <c r="F2967" s="7">
        <f t="shared" si="244"/>
        <v>15258.65</v>
      </c>
      <c r="G2967" s="17"/>
      <c r="H2967" s="7">
        <v>53.95</v>
      </c>
      <c r="I2967" s="7">
        <v>43.95</v>
      </c>
      <c r="J2967" s="7">
        <v>41.65</v>
      </c>
      <c r="K2967" s="7"/>
      <c r="L2967" s="7">
        <v>42.05</v>
      </c>
      <c r="N2967" s="7">
        <v>52</v>
      </c>
      <c r="O2967" s="7"/>
      <c r="P2967" s="17"/>
      <c r="Q2967" s="159">
        <v>44335</v>
      </c>
      <c r="R2967" s="161">
        <v>15041.15</v>
      </c>
      <c r="S2967" s="161">
        <v>15140.5</v>
      </c>
      <c r="T2967" s="159">
        <v>44334</v>
      </c>
      <c r="V2967" s="17"/>
    </row>
    <row r="2968" spans="2:26" x14ac:dyDescent="0.3">
      <c r="B2968" s="5">
        <f>B2967+50</f>
        <v>15250</v>
      </c>
      <c r="C2968" s="7">
        <v>50.75</v>
      </c>
      <c r="D2968" s="7">
        <v>45</v>
      </c>
      <c r="E2968" s="16">
        <f>E2969-(F2969-E2969)</f>
        <v>47.475000000000023</v>
      </c>
      <c r="F2968" s="7">
        <f t="shared" si="244"/>
        <v>15295</v>
      </c>
      <c r="G2968" s="16"/>
      <c r="H2968" s="7">
        <v>41.4</v>
      </c>
      <c r="I2968" s="7">
        <v>33.75</v>
      </c>
      <c r="J2968" s="7">
        <v>31.55</v>
      </c>
      <c r="K2968" s="7"/>
      <c r="L2968" s="7">
        <v>31.7</v>
      </c>
      <c r="N2968" s="7">
        <v>39.799999999999997</v>
      </c>
      <c r="O2968" s="7"/>
      <c r="P2968" s="17"/>
      <c r="Q2968" s="159">
        <v>44334</v>
      </c>
      <c r="R2968" s="161">
        <v>15105.5</v>
      </c>
      <c r="S2968" s="161">
        <v>15141.15</v>
      </c>
      <c r="T2968" s="159">
        <v>44335</v>
      </c>
      <c r="V2968" s="17"/>
    </row>
    <row r="2969" spans="2:26" x14ac:dyDescent="0.3">
      <c r="B2969" s="17"/>
      <c r="C2969" s="17"/>
      <c r="D2969" s="16"/>
      <c r="E2969" s="16">
        <f>F2969-(G2969-F2969)</f>
        <v>65.950000000000017</v>
      </c>
      <c r="F2969" s="16">
        <f>AVERAGE(C2966,C2978)</f>
        <v>84.425000000000011</v>
      </c>
      <c r="G2969" s="16">
        <f>AVERAGE(C2965,C2977)</f>
        <v>102.9</v>
      </c>
      <c r="H2969" s="7"/>
      <c r="I2969" s="7"/>
      <c r="J2969" s="7"/>
      <c r="K2969" s="7"/>
      <c r="L2969" s="7"/>
      <c r="P2969" s="17"/>
      <c r="V2969" s="16"/>
    </row>
    <row r="2970" spans="2:26" x14ac:dyDescent="0.3">
      <c r="B2970" s="17"/>
      <c r="C2970" s="17"/>
      <c r="D2970" s="16"/>
      <c r="E2970" s="16"/>
      <c r="F2970" s="16"/>
      <c r="G2970" s="16"/>
      <c r="I2970" s="17"/>
      <c r="P2970" s="17"/>
      <c r="Q2970" s="17"/>
      <c r="R2970" s="17"/>
      <c r="S2970" s="17"/>
      <c r="T2970" s="16"/>
      <c r="V2970" s="16"/>
      <c r="W2970" s="90" t="s">
        <v>68</v>
      </c>
      <c r="X2970" s="119" t="s">
        <v>69</v>
      </c>
      <c r="Y2970" s="92" t="s">
        <v>70</v>
      </c>
      <c r="Z2970" s="90" t="s">
        <v>68</v>
      </c>
    </row>
    <row r="2971" spans="2:26" x14ac:dyDescent="0.3">
      <c r="B2971" s="17"/>
      <c r="C2971" s="17"/>
      <c r="D2971" s="16"/>
      <c r="E2971" s="16"/>
      <c r="F2971" s="16"/>
      <c r="G2971" s="16"/>
      <c r="H2971" s="101"/>
      <c r="I2971" s="101"/>
      <c r="J2971" s="101"/>
      <c r="K2971" s="101"/>
      <c r="L2971" s="101"/>
      <c r="N2971" s="101"/>
      <c r="O2971" s="101"/>
      <c r="P2971" s="17"/>
      <c r="Q2971" s="17"/>
      <c r="R2971" s="17"/>
      <c r="S2971" s="17"/>
      <c r="T2971" s="16"/>
      <c r="V2971" s="16"/>
      <c r="W2971" s="66">
        <v>0.41597222222222219</v>
      </c>
      <c r="X2971" s="7">
        <v>66.05</v>
      </c>
      <c r="Y2971" s="7">
        <v>84.15</v>
      </c>
      <c r="Z2971" s="66">
        <v>0.41597222222222219</v>
      </c>
    </row>
    <row r="2972" spans="2:26" x14ac:dyDescent="0.3">
      <c r="B2972" s="16"/>
      <c r="C2972" s="95">
        <v>44343</v>
      </c>
      <c r="D2972" s="17"/>
      <c r="F2972" s="16"/>
      <c r="H2972" s="66">
        <v>6.25E-2</v>
      </c>
      <c r="I2972" s="66">
        <v>0.11875000000000001</v>
      </c>
      <c r="J2972" s="66">
        <v>0.12083333333333333</v>
      </c>
      <c r="K2972" s="66"/>
      <c r="L2972" s="66">
        <v>0.13541666666666666</v>
      </c>
      <c r="N2972" s="66">
        <v>9.3055555555555558E-2</v>
      </c>
      <c r="O2972" s="66"/>
      <c r="P2972" s="17"/>
      <c r="Q2972" s="155" t="s">
        <v>72</v>
      </c>
      <c r="R2972" s="155"/>
      <c r="S2972" s="155"/>
      <c r="T2972" s="155"/>
      <c r="V2972" s="17"/>
      <c r="W2972" s="66">
        <v>0.4368055555555555</v>
      </c>
      <c r="X2972" s="7">
        <v>65.5</v>
      </c>
      <c r="Y2972" s="7">
        <v>80.95</v>
      </c>
      <c r="Z2972" s="66">
        <v>0.4368055555555555</v>
      </c>
    </row>
    <row r="2973" spans="2:26" x14ac:dyDescent="0.3">
      <c r="B2973" s="90" t="s">
        <v>68</v>
      </c>
      <c r="C2973" s="66">
        <v>0.41666666666666669</v>
      </c>
      <c r="D2973" s="66">
        <v>0.3888888888888889</v>
      </c>
      <c r="E2973" s="16">
        <f>F2973-(G2973-F2973)</f>
        <v>72.375</v>
      </c>
      <c r="F2973" s="16">
        <f>AVERAGE(C2977,C2966)</f>
        <v>91.9</v>
      </c>
      <c r="G2973" s="16">
        <f>AVERAGE(C2976,C2965)</f>
        <v>111.42500000000001</v>
      </c>
      <c r="H2973" s="23">
        <v>91.9</v>
      </c>
      <c r="I2973" s="23">
        <v>111.4</v>
      </c>
      <c r="J2973" s="7">
        <v>14925.25</v>
      </c>
      <c r="K2973" s="7"/>
      <c r="L2973" s="7">
        <v>14939.55</v>
      </c>
      <c r="N2973" s="7">
        <v>14985.25</v>
      </c>
      <c r="O2973" s="7"/>
      <c r="P2973" s="17"/>
      <c r="Q2973" s="34"/>
      <c r="R2973" s="34" t="s">
        <v>111</v>
      </c>
      <c r="S2973" s="34" t="s">
        <v>2</v>
      </c>
      <c r="T2973" s="34" t="s">
        <v>1</v>
      </c>
      <c r="V2973" s="17"/>
      <c r="W2973" s="66">
        <v>0.45763888888888887</v>
      </c>
      <c r="X2973" s="7">
        <v>63.1</v>
      </c>
      <c r="Y2973" s="7">
        <v>82.15</v>
      </c>
      <c r="Z2973" s="66">
        <v>0.45763888888888887</v>
      </c>
    </row>
    <row r="2974" spans="2:26" x14ac:dyDescent="0.3">
      <c r="B2974" s="5">
        <f>B2975+50</f>
        <v>15050</v>
      </c>
      <c r="C2974" s="7">
        <v>157.44999999999999</v>
      </c>
      <c r="D2974" s="7">
        <v>135</v>
      </c>
      <c r="E2974" s="16">
        <f>E2973-(F2973-E2973)</f>
        <v>52.849999999999994</v>
      </c>
      <c r="F2974" s="7">
        <f t="shared" ref="F2974:F2979" si="245">B2974-D2974</f>
        <v>14915</v>
      </c>
      <c r="G2974" s="16"/>
      <c r="H2974" s="7">
        <v>171.35</v>
      </c>
      <c r="I2974" s="7">
        <v>201.7</v>
      </c>
      <c r="J2974" s="7">
        <v>213.4</v>
      </c>
      <c r="K2974" s="7"/>
      <c r="L2974" s="7">
        <v>199.75</v>
      </c>
      <c r="N2974" s="7">
        <v>170.4</v>
      </c>
      <c r="O2974" s="7"/>
      <c r="P2974" s="17"/>
      <c r="Q2974" s="7">
        <f>(R2974)*(T2974-S2974)</f>
        <v>1605.0000000000005</v>
      </c>
      <c r="R2974" s="109">
        <v>75</v>
      </c>
      <c r="S2974" s="7">
        <v>90</v>
      </c>
      <c r="T2974" s="18">
        <v>111.4</v>
      </c>
      <c r="V2974" s="16"/>
      <c r="W2974" s="66">
        <v>0.47847222222222219</v>
      </c>
      <c r="X2974" s="7">
        <v>61.8</v>
      </c>
      <c r="Y2974" s="7">
        <v>82.25</v>
      </c>
      <c r="Z2974" s="66">
        <v>0.47847222222222219</v>
      </c>
    </row>
    <row r="2975" spans="2:26" x14ac:dyDescent="0.3">
      <c r="B2975" s="5">
        <f>B2976+50</f>
        <v>15000</v>
      </c>
      <c r="C2975" s="7">
        <v>135.6</v>
      </c>
      <c r="D2975" s="7">
        <v>115.45</v>
      </c>
      <c r="E2975" s="16"/>
      <c r="F2975" s="7">
        <f t="shared" si="245"/>
        <v>14884.55</v>
      </c>
      <c r="G2975" s="17"/>
      <c r="H2975" s="7">
        <v>147.05000000000001</v>
      </c>
      <c r="I2975" s="7">
        <v>173.1</v>
      </c>
      <c r="J2975" s="7">
        <v>183.85</v>
      </c>
      <c r="K2975" s="7"/>
      <c r="L2975" s="7">
        <v>171.5</v>
      </c>
      <c r="N2975" s="7">
        <v>145.85</v>
      </c>
      <c r="O2975" s="7"/>
      <c r="P2975" s="17"/>
      <c r="Q2975" s="7">
        <f t="shared" ref="Q2975:Q2977" si="246">(R2975)*(T2975-S2975)</f>
        <v>1256.25</v>
      </c>
      <c r="R2975" s="109">
        <v>75</v>
      </c>
      <c r="S2975" s="7">
        <v>90</v>
      </c>
      <c r="T2975" s="18">
        <v>106.75</v>
      </c>
      <c r="V2975" s="16"/>
      <c r="W2975" s="66">
        <v>0.4993055555555555</v>
      </c>
      <c r="X2975" s="7">
        <v>63.5</v>
      </c>
      <c r="Y2975" s="7">
        <v>80.05</v>
      </c>
      <c r="Z2975" s="66">
        <v>0.4993055555555555</v>
      </c>
    </row>
    <row r="2976" spans="2:26" x14ac:dyDescent="0.3">
      <c r="B2976" s="97">
        <v>14950</v>
      </c>
      <c r="C2976" s="7">
        <v>116.15</v>
      </c>
      <c r="D2976" s="7">
        <v>98.25</v>
      </c>
      <c r="E2976" s="16"/>
      <c r="F2976" s="7">
        <f t="shared" si="245"/>
        <v>14851.75</v>
      </c>
      <c r="G2976" s="17"/>
      <c r="H2976" s="7">
        <v>125.9</v>
      </c>
      <c r="I2976" s="7">
        <v>148.44999999999999</v>
      </c>
      <c r="J2976" s="7">
        <v>158</v>
      </c>
      <c r="K2976" s="7"/>
      <c r="L2976" s="7">
        <v>146.9</v>
      </c>
      <c r="N2976" s="7">
        <v>123.55</v>
      </c>
      <c r="O2976" s="7"/>
      <c r="P2976" s="17"/>
      <c r="Q2976" s="7">
        <f t="shared" si="246"/>
        <v>0</v>
      </c>
      <c r="R2976" s="109"/>
      <c r="S2976" s="18"/>
      <c r="T2976" s="18"/>
      <c r="V2976" s="17"/>
      <c r="W2976" s="66">
        <v>0.52013888888888882</v>
      </c>
      <c r="X2976" s="7">
        <v>58.5</v>
      </c>
      <c r="Y2976" s="7">
        <v>88.6</v>
      </c>
      <c r="Z2976" s="66">
        <v>0.52013888888888882</v>
      </c>
    </row>
    <row r="2977" spans="2:26" x14ac:dyDescent="0.3">
      <c r="B2977" s="14">
        <f>B2976-50</f>
        <v>14900</v>
      </c>
      <c r="C2977" s="7">
        <v>99.1</v>
      </c>
      <c r="D2977" s="7">
        <v>83.55</v>
      </c>
      <c r="E2977" s="16"/>
      <c r="F2977" s="98">
        <f t="shared" si="245"/>
        <v>14816.45</v>
      </c>
      <c r="G2977" s="17"/>
      <c r="H2977" s="7">
        <v>106.1</v>
      </c>
      <c r="I2977" s="7">
        <v>126.1</v>
      </c>
      <c r="J2977" s="7">
        <v>134.6</v>
      </c>
      <c r="K2977" s="7"/>
      <c r="L2977" s="7">
        <v>125.55</v>
      </c>
      <c r="N2977" s="7">
        <v>104</v>
      </c>
      <c r="O2977" s="7"/>
      <c r="P2977" s="17"/>
      <c r="Q2977" s="7">
        <f t="shared" si="246"/>
        <v>0</v>
      </c>
      <c r="R2977" s="109"/>
      <c r="S2977" s="18"/>
      <c r="T2977" s="18"/>
      <c r="V2977" s="17"/>
      <c r="W2977" s="66">
        <v>0.54097222222222219</v>
      </c>
      <c r="X2977" s="7">
        <v>60.1</v>
      </c>
      <c r="Y2977" s="7">
        <v>85.65</v>
      </c>
      <c r="Z2977" s="66">
        <v>0.54097222222222219</v>
      </c>
    </row>
    <row r="2978" spans="2:26" x14ac:dyDescent="0.3">
      <c r="B2978" s="99">
        <f>B2977-50</f>
        <v>14850</v>
      </c>
      <c r="C2978" s="51">
        <v>84.15</v>
      </c>
      <c r="D2978" s="7">
        <v>71.650000000000006</v>
      </c>
      <c r="E2978" s="16"/>
      <c r="F2978" s="7">
        <f t="shared" si="245"/>
        <v>14778.35</v>
      </c>
      <c r="G2978" s="17">
        <v>75.95</v>
      </c>
      <c r="H2978" s="7">
        <v>90</v>
      </c>
      <c r="I2978" s="7">
        <v>107.6</v>
      </c>
      <c r="J2978" s="7">
        <v>114.8</v>
      </c>
      <c r="K2978" s="7"/>
      <c r="L2978" s="7">
        <v>106.75</v>
      </c>
      <c r="N2978" s="7">
        <v>88.35</v>
      </c>
      <c r="O2978" s="7"/>
      <c r="P2978" s="17"/>
      <c r="Q2978" s="7">
        <f>SUM(Q2974:Q2977)</f>
        <v>2861.2500000000005</v>
      </c>
      <c r="R2978" s="7"/>
      <c r="S2978" s="109"/>
      <c r="T2978" s="114"/>
      <c r="V2978" s="17"/>
      <c r="W2978" s="66">
        <v>6.1805555555555558E-2</v>
      </c>
      <c r="X2978" s="7">
        <v>57</v>
      </c>
      <c r="Y2978" s="7">
        <v>87.05</v>
      </c>
      <c r="Z2978" s="66">
        <v>6.1805555555555558E-2</v>
      </c>
    </row>
    <row r="2979" spans="2:26" x14ac:dyDescent="0.3">
      <c r="B2979" s="5">
        <f>B2978-50</f>
        <v>14800</v>
      </c>
      <c r="C2979" s="7">
        <v>70.900000000000006</v>
      </c>
      <c r="D2979" s="7">
        <v>60.75</v>
      </c>
      <c r="E2979" s="16"/>
      <c r="F2979" s="7">
        <f t="shared" si="245"/>
        <v>14739.25</v>
      </c>
      <c r="G2979" s="16">
        <v>75.099999999999994</v>
      </c>
      <c r="H2979" s="7">
        <v>75.75</v>
      </c>
      <c r="I2979" s="7">
        <v>91.1</v>
      </c>
      <c r="J2979" s="7">
        <v>98.35</v>
      </c>
      <c r="K2979" s="7"/>
      <c r="L2979" s="7">
        <v>89.6</v>
      </c>
      <c r="N2979" s="7">
        <v>74.05</v>
      </c>
      <c r="O2979" s="7"/>
      <c r="W2979" s="66">
        <v>8.2638888888888887E-2</v>
      </c>
      <c r="X2979" s="7">
        <v>54.45</v>
      </c>
      <c r="Y2979" s="7">
        <v>86.15</v>
      </c>
      <c r="Z2979" s="66">
        <v>8.2638888888888887E-2</v>
      </c>
    </row>
    <row r="2980" spans="2:26" x14ac:dyDescent="0.3">
      <c r="H2980" s="7"/>
      <c r="I2980" s="7"/>
      <c r="J2980" s="7"/>
      <c r="K2980" s="7"/>
      <c r="L2980" s="7"/>
      <c r="P2980" s="98">
        <f>Q2978</f>
        <v>2861.2500000000005</v>
      </c>
      <c r="Q2980" s="92" t="s">
        <v>72</v>
      </c>
      <c r="R2980" s="17"/>
      <c r="T2980" s="92" t="s">
        <v>73</v>
      </c>
      <c r="U2980" s="7">
        <f>((X2972+Y2972)-(X2980+Y2980))</f>
        <v>15.049999999999983</v>
      </c>
      <c r="V2980" s="98">
        <f>U2980*150</f>
        <v>2257.4999999999973</v>
      </c>
      <c r="W2980" s="66">
        <v>0.12083333333333333</v>
      </c>
      <c r="X2980" s="7">
        <v>41.4</v>
      </c>
      <c r="Y2980" s="23">
        <v>90</v>
      </c>
      <c r="Z2980" s="66">
        <v>6.25E-2</v>
      </c>
    </row>
    <row r="2990" spans="2:26" x14ac:dyDescent="0.3">
      <c r="B2990" s="40"/>
      <c r="C2990" s="50">
        <f>AVERAGE(B2991,D2990)</f>
        <v>15127.3</v>
      </c>
      <c r="D2990" s="51">
        <f>B2991+E2991</f>
        <v>15172.3</v>
      </c>
      <c r="E2990" s="50">
        <f>AVERAGE(D2990,F2990)</f>
        <v>15217.3</v>
      </c>
      <c r="F2990" s="50">
        <f>D2990+E2991</f>
        <v>15262.3</v>
      </c>
      <c r="G2990" s="17"/>
      <c r="H2990" s="88" t="str">
        <f>IF((C2999-D2999)&gt;(C3010-D3010),"LONG",IF(C3010&gt;D3008,"LONG","SHORT"))</f>
        <v>LONG</v>
      </c>
      <c r="I2990" s="104">
        <v>14992</v>
      </c>
      <c r="J2990" s="120" t="s">
        <v>122</v>
      </c>
      <c r="K2990" s="106">
        <v>15087</v>
      </c>
      <c r="L2990" s="17"/>
      <c r="N2990" s="17"/>
      <c r="O2990" s="17"/>
      <c r="U2990" s="17"/>
      <c r="V2990" s="17"/>
    </row>
    <row r="2991" spans="2:26" x14ac:dyDescent="0.3">
      <c r="B2991" s="50">
        <v>15082.3</v>
      </c>
      <c r="C2991" s="40"/>
      <c r="D2991" s="58"/>
      <c r="E2991" s="59">
        <f>ROUND((((B2991*F2991%)/4)/10),0)*10</f>
        <v>90</v>
      </c>
      <c r="F2991" s="51">
        <f>(100/B2991)*(F3000-F3011)</f>
        <v>2.4601685419332546</v>
      </c>
      <c r="G2991" s="17"/>
      <c r="H2991" s="93">
        <v>0.39166666666666666</v>
      </c>
      <c r="I2991" s="93">
        <v>0.39861111111111108</v>
      </c>
      <c r="J2991" s="93">
        <v>0.4055555555555555</v>
      </c>
      <c r="K2991" s="93">
        <v>0.41250000000000003</v>
      </c>
      <c r="M2991" s="50">
        <v>8200</v>
      </c>
      <c r="N2991" s="17"/>
      <c r="O2991" s="17"/>
      <c r="U2991" s="17"/>
      <c r="V2991" s="17"/>
      <c r="W2991" s="90" t="s">
        <v>68</v>
      </c>
      <c r="X2991" s="119" t="s">
        <v>69</v>
      </c>
      <c r="Y2991" s="92" t="s">
        <v>70</v>
      </c>
      <c r="Z2991" s="90" t="s">
        <v>68</v>
      </c>
    </row>
    <row r="2992" spans="2:26" x14ac:dyDescent="0.3">
      <c r="B2992" s="40"/>
      <c r="C2992" s="50">
        <f>AVERAGE(B2991,D2992)</f>
        <v>15037.3</v>
      </c>
      <c r="D2992" s="51">
        <f>B2991-E2991</f>
        <v>14992.3</v>
      </c>
      <c r="E2992" s="50">
        <f>AVERAGE(D2992,F2992)</f>
        <v>14947.3</v>
      </c>
      <c r="F2992" s="50">
        <f>D2992-E2991</f>
        <v>14902.3</v>
      </c>
      <c r="G2992" s="17"/>
      <c r="H2992" s="51">
        <v>14998.55</v>
      </c>
      <c r="I2992" s="51">
        <v>15029.7</v>
      </c>
      <c r="J2992" s="51">
        <v>15056.7</v>
      </c>
      <c r="K2992" s="51">
        <v>15075</v>
      </c>
      <c r="L2992" s="17"/>
      <c r="N2992" s="17"/>
      <c r="O2992" s="17"/>
      <c r="Q2992" s="17"/>
      <c r="R2992" s="17"/>
      <c r="S2992" s="17"/>
      <c r="T2992" s="16"/>
      <c r="U2992" s="17"/>
      <c r="V2992" s="17"/>
      <c r="W2992" s="66">
        <v>0.41597222222222219</v>
      </c>
      <c r="X2992" s="7">
        <v>142.35</v>
      </c>
      <c r="Y2992" s="7">
        <v>112</v>
      </c>
      <c r="Z2992" s="66">
        <v>0.41597222222222219</v>
      </c>
    </row>
    <row r="2993" spans="2:26" x14ac:dyDescent="0.3">
      <c r="B2993" s="17"/>
      <c r="C2993" s="17"/>
      <c r="D2993" s="17"/>
      <c r="E2993" s="17"/>
      <c r="F2993" s="16"/>
      <c r="G2993" s="16"/>
      <c r="H2993" s="17"/>
      <c r="I2993" s="17"/>
      <c r="J2993" s="17"/>
      <c r="K2993" s="16"/>
      <c r="L2993" s="17"/>
      <c r="M2993" s="17"/>
      <c r="N2993" s="17"/>
      <c r="O2993" s="17"/>
      <c r="Q2993" s="17"/>
      <c r="R2993" s="17"/>
      <c r="S2993" s="17"/>
      <c r="T2993" s="17"/>
      <c r="U2993" s="17"/>
      <c r="V2993" s="17"/>
      <c r="W2993" s="66">
        <v>0.4368055555555555</v>
      </c>
      <c r="X2993" s="7">
        <v>155.9</v>
      </c>
      <c r="Y2993" s="7">
        <v>100.3</v>
      </c>
      <c r="Z2993" s="66">
        <v>0.4368055555555555</v>
      </c>
    </row>
    <row r="2994" spans="2:26" x14ac:dyDescent="0.3">
      <c r="B2994" s="16"/>
      <c r="C2994" s="17"/>
      <c r="D2994" s="17"/>
      <c r="E2994" s="17"/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Q2994" s="17"/>
      <c r="R2994" s="17"/>
      <c r="S2994" s="17"/>
      <c r="T2994" s="17"/>
      <c r="U2994" s="17"/>
      <c r="V2994" s="17"/>
      <c r="W2994" s="66">
        <v>0.45763888888888887</v>
      </c>
      <c r="X2994" s="7">
        <v>176.35</v>
      </c>
      <c r="Y2994" s="7">
        <v>92.2</v>
      </c>
      <c r="Z2994" s="66">
        <v>0.45763888888888887</v>
      </c>
    </row>
    <row r="2995" spans="2:26" x14ac:dyDescent="0.3">
      <c r="B2995" s="16"/>
      <c r="C2995" s="95">
        <v>44337</v>
      </c>
      <c r="D2995" s="17"/>
      <c r="E2995" s="17"/>
      <c r="F2995" s="7">
        <f>AVERAGE(F2997,F3008)</f>
        <v>15058.3</v>
      </c>
      <c r="G2995" s="96"/>
      <c r="H2995" s="66">
        <v>0.44305555555555554</v>
      </c>
      <c r="I2995" s="66">
        <v>9.3055555555555558E-2</v>
      </c>
      <c r="J2995" s="66">
        <v>0.10347222222222223</v>
      </c>
      <c r="K2995" s="66"/>
      <c r="L2995" s="66">
        <v>0.13541666666666666</v>
      </c>
      <c r="N2995" s="66">
        <v>0.4513888888888889</v>
      </c>
      <c r="O2995" s="66"/>
      <c r="Q2995" s="17"/>
      <c r="R2995" s="17"/>
      <c r="S2995" s="17"/>
      <c r="T2995" s="17"/>
      <c r="U2995" s="17"/>
      <c r="V2995" s="17"/>
      <c r="W2995" s="66">
        <v>0.47847222222222219</v>
      </c>
      <c r="X2995" s="7">
        <v>171.35</v>
      </c>
      <c r="Y2995" s="7">
        <v>92.45</v>
      </c>
      <c r="Z2995" s="66">
        <v>0.47847222222222219</v>
      </c>
    </row>
    <row r="2996" spans="2:26" x14ac:dyDescent="0.3">
      <c r="B2996" s="90" t="s">
        <v>68</v>
      </c>
      <c r="C2996" s="66">
        <v>0.41666666666666669</v>
      </c>
      <c r="D2996" s="66">
        <v>0.39166666666666666</v>
      </c>
      <c r="E2996" s="17"/>
      <c r="F2996" s="17"/>
      <c r="G2996" s="17"/>
      <c r="H2996" s="23">
        <v>83.5</v>
      </c>
      <c r="I2996" s="7">
        <v>15144</v>
      </c>
      <c r="J2996" s="23">
        <v>104</v>
      </c>
      <c r="K2996" s="7"/>
      <c r="L2996" s="7">
        <v>15211.4</v>
      </c>
      <c r="N2996" s="7">
        <v>15132</v>
      </c>
      <c r="O2996" s="7"/>
      <c r="U2996" s="17"/>
      <c r="V2996" s="17"/>
      <c r="W2996" s="66">
        <v>0.4993055555555555</v>
      </c>
      <c r="X2996" s="7">
        <v>168.6</v>
      </c>
      <c r="Y2996" s="7">
        <v>92.65</v>
      </c>
      <c r="Z2996" s="66">
        <v>0.4993055555555555</v>
      </c>
    </row>
    <row r="2997" spans="2:26" x14ac:dyDescent="0.3">
      <c r="B2997" s="5">
        <f>B2998-50</f>
        <v>15050</v>
      </c>
      <c r="C2997" s="7">
        <v>142.35</v>
      </c>
      <c r="D2997" s="7">
        <v>100.6</v>
      </c>
      <c r="E2997" s="16"/>
      <c r="F2997" s="7">
        <f t="shared" ref="F2997:F3002" si="247">B2997+D2997</f>
        <v>15150.6</v>
      </c>
      <c r="G2997" s="17"/>
      <c r="H2997" s="7">
        <v>164.55</v>
      </c>
      <c r="I2997" s="7">
        <v>176.85</v>
      </c>
      <c r="J2997" s="7">
        <v>195</v>
      </c>
      <c r="K2997" s="7"/>
      <c r="L2997" s="7">
        <v>220.35</v>
      </c>
      <c r="N2997" s="7">
        <v>173.5</v>
      </c>
      <c r="O2997" s="7"/>
      <c r="Q2997" s="150" t="s">
        <v>129</v>
      </c>
      <c r="R2997" s="151"/>
      <c r="S2997" s="151"/>
      <c r="T2997" s="151"/>
      <c r="V2997" s="17"/>
      <c r="W2997" s="66">
        <v>0.52013888888888882</v>
      </c>
      <c r="X2997" s="7">
        <v>171.2</v>
      </c>
      <c r="Y2997" s="7">
        <v>91.2</v>
      </c>
      <c r="Z2997" s="66">
        <v>0.52013888888888882</v>
      </c>
    </row>
    <row r="2998" spans="2:26" x14ac:dyDescent="0.3">
      <c r="B2998" s="5">
        <f>B2999-50</f>
        <v>15100</v>
      </c>
      <c r="C2998" s="7">
        <v>115.4</v>
      </c>
      <c r="D2998" s="7">
        <v>79.25</v>
      </c>
      <c r="E2998" s="16"/>
      <c r="F2998" s="7">
        <f t="shared" si="247"/>
        <v>15179.25</v>
      </c>
      <c r="G2998" s="17"/>
      <c r="H2998" s="7">
        <v>134.5</v>
      </c>
      <c r="I2998" s="7">
        <v>145.05000000000001</v>
      </c>
      <c r="J2998" s="7">
        <v>161.19999999999999</v>
      </c>
      <c r="K2998" s="7"/>
      <c r="L2998" s="7">
        <v>184.7</v>
      </c>
      <c r="N2998" s="7">
        <v>142</v>
      </c>
      <c r="O2998" s="7"/>
      <c r="P2998" s="17"/>
      <c r="Q2998" s="159">
        <v>44330</v>
      </c>
      <c r="R2998" s="161">
        <v>14623.8</v>
      </c>
      <c r="S2998" s="161">
        <v>14723.8</v>
      </c>
      <c r="T2998" s="159">
        <v>44330</v>
      </c>
      <c r="V2998" s="17"/>
      <c r="W2998" s="66">
        <v>0.54097222222222219</v>
      </c>
      <c r="X2998" s="7">
        <v>165.9</v>
      </c>
      <c r="Y2998" s="7">
        <v>92.7</v>
      </c>
      <c r="Z2998" s="66">
        <v>0.54097222222222219</v>
      </c>
    </row>
    <row r="2999" spans="2:26" x14ac:dyDescent="0.3">
      <c r="B2999" s="97">
        <v>15150</v>
      </c>
      <c r="C2999" s="7">
        <v>91.35</v>
      </c>
      <c r="D2999" s="7">
        <v>61.1</v>
      </c>
      <c r="E2999" s="16"/>
      <c r="F2999" s="7">
        <f t="shared" si="247"/>
        <v>15211.1</v>
      </c>
      <c r="G2999" s="17"/>
      <c r="H2999" s="7">
        <v>107.95</v>
      </c>
      <c r="I2999" s="7">
        <v>116</v>
      </c>
      <c r="J2999" s="7">
        <v>130.15</v>
      </c>
      <c r="K2999" s="7"/>
      <c r="L2999" s="7">
        <v>151.44999999999999</v>
      </c>
      <c r="N2999" s="7">
        <v>114.2</v>
      </c>
      <c r="O2999" s="7"/>
      <c r="P2999" s="17"/>
      <c r="Q2999" s="159">
        <v>44333</v>
      </c>
      <c r="R2999" s="161">
        <v>14791</v>
      </c>
      <c r="S2999" s="161">
        <v>14951</v>
      </c>
      <c r="T2999" s="159">
        <v>44333</v>
      </c>
      <c r="V2999" s="17"/>
      <c r="W2999" s="66">
        <v>6.1805555555555558E-2</v>
      </c>
      <c r="X2999" s="7">
        <v>169.4</v>
      </c>
      <c r="Y2999" s="7">
        <v>86.8</v>
      </c>
      <c r="Z2999" s="66">
        <v>6.1805555555555558E-2</v>
      </c>
    </row>
    <row r="3000" spans="2:26" x14ac:dyDescent="0.3">
      <c r="B3000" s="5">
        <f>B2999+50</f>
        <v>15200</v>
      </c>
      <c r="C3000" s="51">
        <v>70.150000000000006</v>
      </c>
      <c r="D3000" s="7">
        <v>45.65</v>
      </c>
      <c r="E3000" s="16"/>
      <c r="F3000" s="98">
        <f t="shared" si="247"/>
        <v>15245.65</v>
      </c>
      <c r="G3000" s="16">
        <f>SUM(H3012,H3000)-H3011</f>
        <v>72.949999999999989</v>
      </c>
      <c r="H3000" s="7">
        <v>84.55</v>
      </c>
      <c r="I3000" s="7">
        <v>90.45</v>
      </c>
      <c r="J3000" s="7">
        <v>103.3</v>
      </c>
      <c r="K3000" s="7"/>
      <c r="L3000" s="7">
        <v>122.5</v>
      </c>
      <c r="N3000" s="7">
        <v>89.95</v>
      </c>
      <c r="O3000" s="7"/>
      <c r="P3000" s="17"/>
      <c r="Q3000" s="159">
        <v>44336</v>
      </c>
      <c r="R3000" s="161">
        <v>14924.1</v>
      </c>
      <c r="S3000" s="161">
        <v>15024.1</v>
      </c>
      <c r="T3000" s="159">
        <v>44336</v>
      </c>
      <c r="V3000" s="17"/>
      <c r="W3000" s="66">
        <v>8.2638888888888887E-2</v>
      </c>
      <c r="X3000" s="7">
        <v>165.55</v>
      </c>
      <c r="Y3000" s="7">
        <v>87.2</v>
      </c>
      <c r="Z3000" s="66">
        <v>8.2638888888888887E-2</v>
      </c>
    </row>
    <row r="3001" spans="2:26" x14ac:dyDescent="0.3">
      <c r="B3001" s="99">
        <f>B3000+50</f>
        <v>15250</v>
      </c>
      <c r="C3001" s="7">
        <v>53</v>
      </c>
      <c r="D3001" s="7">
        <v>33.950000000000003</v>
      </c>
      <c r="E3001" s="16"/>
      <c r="F3001" s="7">
        <f t="shared" si="247"/>
        <v>15283.95</v>
      </c>
      <c r="G3001" s="17"/>
      <c r="H3001" s="7">
        <v>64.5</v>
      </c>
      <c r="I3001" s="7">
        <v>68.7</v>
      </c>
      <c r="J3001" s="7">
        <v>79.55</v>
      </c>
      <c r="K3001" s="7"/>
      <c r="L3001" s="7">
        <v>95.9</v>
      </c>
      <c r="N3001" s="7">
        <v>68.900000000000006</v>
      </c>
      <c r="O3001" s="7"/>
      <c r="P3001" s="17"/>
      <c r="Q3001" s="159">
        <v>44335</v>
      </c>
      <c r="R3001" s="161">
        <v>15041.15</v>
      </c>
      <c r="S3001" s="161">
        <v>15140.5</v>
      </c>
      <c r="T3001" s="159">
        <v>44334</v>
      </c>
      <c r="V3001" s="17"/>
    </row>
    <row r="3002" spans="2:26" x14ac:dyDescent="0.3">
      <c r="B3002" s="5">
        <f>B3001+50</f>
        <v>15300</v>
      </c>
      <c r="C3002" s="7">
        <v>38.950000000000003</v>
      </c>
      <c r="D3002" s="7">
        <v>24.7</v>
      </c>
      <c r="E3002" s="16">
        <f>E3003-(F3003-E3003)</f>
        <v>42.57499999999996</v>
      </c>
      <c r="F3002" s="7">
        <f t="shared" si="247"/>
        <v>15324.7</v>
      </c>
      <c r="G3002" s="16"/>
      <c r="H3002" s="7">
        <v>48.4</v>
      </c>
      <c r="I3002" s="7">
        <v>50.9</v>
      </c>
      <c r="J3002" s="7">
        <v>60.05</v>
      </c>
      <c r="K3002" s="7"/>
      <c r="L3002" s="7">
        <v>73.849999999999994</v>
      </c>
      <c r="N3002" s="7">
        <v>52.1</v>
      </c>
      <c r="O3002" s="7"/>
      <c r="P3002" s="17"/>
      <c r="Q3002" s="159">
        <v>44334</v>
      </c>
      <c r="R3002" s="161">
        <v>15105.5</v>
      </c>
      <c r="S3002" s="161">
        <v>15141.15</v>
      </c>
      <c r="T3002" s="159">
        <v>44335</v>
      </c>
      <c r="V3002" s="17"/>
    </row>
    <row r="3003" spans="2:26" x14ac:dyDescent="0.3">
      <c r="B3003" s="17"/>
      <c r="C3003" s="17"/>
      <c r="D3003" s="16"/>
      <c r="E3003" s="16">
        <f>F3003-(G3003-F3003)</f>
        <v>63.074999999999974</v>
      </c>
      <c r="F3003" s="16">
        <f>AVERAGE(C2999,C3011)</f>
        <v>83.574999999999989</v>
      </c>
      <c r="G3003" s="16">
        <f>AVERAGE(C2998,C3010)</f>
        <v>104.075</v>
      </c>
      <c r="H3003" s="7"/>
      <c r="I3003" s="7"/>
      <c r="J3003" s="7"/>
      <c r="K3003" s="7"/>
      <c r="L3003" s="7"/>
      <c r="P3003" s="17"/>
      <c r="V3003" s="16"/>
    </row>
    <row r="3004" spans="2:26" x14ac:dyDescent="0.3">
      <c r="B3004" s="17"/>
      <c r="C3004" s="17"/>
      <c r="D3004" s="16"/>
      <c r="E3004" s="16"/>
      <c r="F3004" s="16"/>
      <c r="G3004" s="16"/>
      <c r="P3004" s="17"/>
      <c r="Q3004" s="17"/>
      <c r="R3004" s="17"/>
      <c r="S3004" s="17"/>
      <c r="T3004" s="16"/>
      <c r="V3004" s="16"/>
      <c r="W3004" s="90" t="s">
        <v>68</v>
      </c>
      <c r="X3004" s="119" t="s">
        <v>69</v>
      </c>
      <c r="Y3004" s="92" t="s">
        <v>70</v>
      </c>
      <c r="Z3004" s="90" t="s">
        <v>68</v>
      </c>
    </row>
    <row r="3005" spans="2:26" x14ac:dyDescent="0.3">
      <c r="B3005" s="17"/>
      <c r="C3005" s="17"/>
      <c r="D3005" s="16"/>
      <c r="E3005" s="16"/>
      <c r="F3005" s="16"/>
      <c r="G3005" s="16"/>
      <c r="H3005" s="101"/>
      <c r="I3005" s="101"/>
      <c r="J3005" s="101"/>
      <c r="K3005" s="101"/>
      <c r="L3005" s="101"/>
      <c r="N3005" s="101"/>
      <c r="O3005" s="101"/>
      <c r="P3005" s="17"/>
      <c r="Q3005" s="17"/>
      <c r="R3005" s="17"/>
      <c r="S3005" s="17"/>
      <c r="T3005" s="16"/>
      <c r="V3005" s="16"/>
      <c r="W3005" s="66">
        <v>0.41597222222222219</v>
      </c>
      <c r="X3005" s="7">
        <v>70.150000000000006</v>
      </c>
      <c r="Y3005" s="7">
        <v>61.65</v>
      </c>
      <c r="Z3005" s="66">
        <v>0.41597222222222219</v>
      </c>
    </row>
    <row r="3006" spans="2:26" x14ac:dyDescent="0.3">
      <c r="B3006" s="16"/>
      <c r="C3006" s="95">
        <v>44343</v>
      </c>
      <c r="D3006" s="17"/>
      <c r="F3006" s="16"/>
      <c r="H3006" s="66">
        <v>0.44305555555555554</v>
      </c>
      <c r="I3006" s="66">
        <v>9.3055555555555558E-2</v>
      </c>
      <c r="J3006" s="66">
        <v>0.10347222222222223</v>
      </c>
      <c r="K3006" s="66"/>
      <c r="L3006" s="66">
        <v>0.13541666666666666</v>
      </c>
      <c r="N3006" s="66">
        <v>0.4513888888888889</v>
      </c>
      <c r="O3006" s="66"/>
      <c r="P3006" s="17"/>
      <c r="Q3006" s="155" t="s">
        <v>72</v>
      </c>
      <c r="R3006" s="155"/>
      <c r="S3006" s="155"/>
      <c r="T3006" s="155"/>
      <c r="V3006" s="17"/>
      <c r="W3006" s="66">
        <v>0.4368055555555555</v>
      </c>
      <c r="X3006" s="7">
        <v>78.400000000000006</v>
      </c>
      <c r="Y3006" s="7">
        <v>54.7</v>
      </c>
      <c r="Z3006" s="66">
        <v>0.4368055555555555</v>
      </c>
    </row>
    <row r="3007" spans="2:26" x14ac:dyDescent="0.3">
      <c r="B3007" s="90" t="s">
        <v>68</v>
      </c>
      <c r="C3007" s="66">
        <v>0.41666666666666669</v>
      </c>
      <c r="D3007" s="66">
        <v>0.4145833333333333</v>
      </c>
      <c r="E3007" s="16">
        <f>F3007-(G3007-F3007)</f>
        <v>53.899999999999991</v>
      </c>
      <c r="F3007" s="16">
        <f>AVERAGE(C3011,C3000)</f>
        <v>72.974999999999994</v>
      </c>
      <c r="G3007" s="16">
        <f>AVERAGE(C3010,C2999)</f>
        <v>92.05</v>
      </c>
      <c r="H3007" s="7">
        <v>15119.95</v>
      </c>
      <c r="I3007" s="23">
        <v>42.7</v>
      </c>
      <c r="J3007" s="7">
        <v>15170</v>
      </c>
      <c r="K3007" s="7"/>
      <c r="L3007" s="7">
        <v>15211.4</v>
      </c>
      <c r="N3007" s="23">
        <v>49.85</v>
      </c>
      <c r="O3007" s="7"/>
      <c r="P3007" s="17"/>
      <c r="Q3007" s="34"/>
      <c r="R3007" s="34" t="s">
        <v>111</v>
      </c>
      <c r="S3007" s="34" t="s">
        <v>2</v>
      </c>
      <c r="T3007" s="34" t="s">
        <v>1</v>
      </c>
      <c r="V3007" s="17"/>
      <c r="W3007" s="66">
        <v>0.45763888888888887</v>
      </c>
      <c r="X3007" s="7">
        <v>91.7</v>
      </c>
      <c r="Y3007" s="7">
        <v>51.45</v>
      </c>
      <c r="Z3007" s="66">
        <v>0.45763888888888887</v>
      </c>
    </row>
    <row r="3008" spans="2:26" x14ac:dyDescent="0.3">
      <c r="B3008" s="5">
        <f>B3009+50</f>
        <v>15100</v>
      </c>
      <c r="C3008" s="7">
        <v>134.55000000000001</v>
      </c>
      <c r="D3008" s="7">
        <v>134</v>
      </c>
      <c r="E3008" s="16">
        <f>E3007-(F3007-E3007)</f>
        <v>34.824999999999989</v>
      </c>
      <c r="F3008" s="7">
        <f t="shared" ref="F3008:F3013" si="248">B3008-D3008</f>
        <v>14966</v>
      </c>
      <c r="G3008" s="16"/>
      <c r="H3008" s="7">
        <v>114.05</v>
      </c>
      <c r="I3008" s="7">
        <v>97.45</v>
      </c>
      <c r="J3008" s="7">
        <v>88.9</v>
      </c>
      <c r="K3008" s="7"/>
      <c r="L3008" s="7">
        <v>70.7</v>
      </c>
      <c r="N3008" s="7">
        <v>110.2</v>
      </c>
      <c r="O3008" s="7"/>
      <c r="P3008" s="17"/>
      <c r="Q3008" s="7">
        <f>(R3008)*(T3008-S3008)</f>
        <v>442.50000000000045</v>
      </c>
      <c r="R3008" s="109">
        <v>75</v>
      </c>
      <c r="S3008" s="7">
        <v>84.55</v>
      </c>
      <c r="T3008" s="18">
        <v>90.45</v>
      </c>
      <c r="V3008" s="16"/>
      <c r="W3008" s="66">
        <v>0.47847222222222219</v>
      </c>
      <c r="X3008" s="7">
        <v>90.3</v>
      </c>
      <c r="Y3008" s="7">
        <v>50.9</v>
      </c>
      <c r="Z3008" s="66">
        <v>0.47847222222222219</v>
      </c>
    </row>
    <row r="3009" spans="2:26" x14ac:dyDescent="0.3">
      <c r="B3009" s="5">
        <f>B3010+50</f>
        <v>15050</v>
      </c>
      <c r="C3009" s="7">
        <v>112</v>
      </c>
      <c r="D3009" s="7">
        <v>111.5</v>
      </c>
      <c r="E3009" s="16"/>
      <c r="F3009" s="7">
        <f t="shared" si="248"/>
        <v>14938.5</v>
      </c>
      <c r="G3009" s="17"/>
      <c r="H3009" s="7">
        <v>94.55</v>
      </c>
      <c r="I3009" s="7">
        <v>80.099999999999994</v>
      </c>
      <c r="J3009" s="7">
        <v>72.5</v>
      </c>
      <c r="K3009" s="7"/>
      <c r="L3009" s="7">
        <v>57.15</v>
      </c>
      <c r="N3009" s="7">
        <v>91.55</v>
      </c>
      <c r="O3009" s="7"/>
      <c r="P3009" s="17"/>
      <c r="Q3009" s="7">
        <f t="shared" ref="Q3009:Q3011" si="249">(R3009)*(T3009-S3009)</f>
        <v>2846.25</v>
      </c>
      <c r="R3009" s="109">
        <v>75</v>
      </c>
      <c r="S3009" s="7">
        <v>84.55</v>
      </c>
      <c r="T3009" s="18">
        <v>122.5</v>
      </c>
      <c r="V3009" s="16"/>
      <c r="W3009" s="66">
        <v>0.4993055555555555</v>
      </c>
      <c r="X3009" s="7">
        <v>87.45</v>
      </c>
      <c r="Y3009" s="7">
        <v>51.35</v>
      </c>
      <c r="Z3009" s="66">
        <v>0.4993055555555555</v>
      </c>
    </row>
    <row r="3010" spans="2:26" x14ac:dyDescent="0.3">
      <c r="B3010" s="97">
        <v>15000</v>
      </c>
      <c r="C3010" s="7">
        <v>92.75</v>
      </c>
      <c r="D3010" s="7">
        <v>91.95</v>
      </c>
      <c r="E3010" s="16"/>
      <c r="F3010" s="7">
        <f t="shared" si="248"/>
        <v>14908.05</v>
      </c>
      <c r="G3010" s="17"/>
      <c r="H3010" s="7">
        <v>77.599999999999994</v>
      </c>
      <c r="I3010" s="7">
        <v>65.2</v>
      </c>
      <c r="J3010" s="7">
        <v>59.4</v>
      </c>
      <c r="K3010" s="7"/>
      <c r="L3010" s="7">
        <v>46.25</v>
      </c>
      <c r="N3010" s="7">
        <v>75.3</v>
      </c>
      <c r="O3010" s="7"/>
      <c r="P3010" s="17"/>
      <c r="Q3010" s="7">
        <f t="shared" si="249"/>
        <v>0</v>
      </c>
      <c r="R3010" s="109"/>
      <c r="S3010" s="18"/>
      <c r="T3010" s="18"/>
      <c r="V3010" s="17"/>
      <c r="W3010" s="66">
        <v>0.52013888888888882</v>
      </c>
      <c r="X3010" s="7">
        <v>88.8</v>
      </c>
      <c r="Y3010" s="7">
        <v>50.35</v>
      </c>
      <c r="Z3010" s="66">
        <v>0.52013888888888882</v>
      </c>
    </row>
    <row r="3011" spans="2:26" x14ac:dyDescent="0.3">
      <c r="B3011" s="14">
        <f>B3010-50</f>
        <v>14950</v>
      </c>
      <c r="C3011" s="7">
        <v>75.8</v>
      </c>
      <c r="D3011" s="7">
        <v>75.400000000000006</v>
      </c>
      <c r="E3011" s="16"/>
      <c r="F3011" s="98">
        <f t="shared" si="248"/>
        <v>14874.6</v>
      </c>
      <c r="G3011" s="17"/>
      <c r="H3011" s="7">
        <v>63.75</v>
      </c>
      <c r="I3011" s="7">
        <v>53.25</v>
      </c>
      <c r="J3011" s="7">
        <v>48.1</v>
      </c>
      <c r="K3011" s="7"/>
      <c r="L3011" s="7">
        <v>37.1</v>
      </c>
      <c r="N3011" s="7">
        <v>61.75</v>
      </c>
      <c r="O3011" s="7"/>
      <c r="P3011" s="17"/>
      <c r="Q3011" s="7">
        <f t="shared" si="249"/>
        <v>0</v>
      </c>
      <c r="R3011" s="109"/>
      <c r="S3011" s="18"/>
      <c r="T3011" s="18"/>
      <c r="V3011" s="17"/>
      <c r="W3011" s="66">
        <v>0.54097222222222219</v>
      </c>
      <c r="X3011" s="7">
        <v>84.75</v>
      </c>
      <c r="Y3011" s="7">
        <v>50.8</v>
      </c>
      <c r="Z3011" s="66">
        <v>0.54097222222222219</v>
      </c>
    </row>
    <row r="3012" spans="2:26" x14ac:dyDescent="0.3">
      <c r="B3012" s="99">
        <f>B3011-50</f>
        <v>14900</v>
      </c>
      <c r="C3012" s="51">
        <v>61.65</v>
      </c>
      <c r="D3012" s="7">
        <v>61.3</v>
      </c>
      <c r="E3012" s="16"/>
      <c r="F3012" s="7">
        <f t="shared" si="248"/>
        <v>14838.7</v>
      </c>
      <c r="H3012" s="7">
        <v>52.15</v>
      </c>
      <c r="I3012" s="7">
        <v>42.9</v>
      </c>
      <c r="J3012" s="7">
        <v>38.75</v>
      </c>
      <c r="K3012" s="7"/>
      <c r="L3012" s="7">
        <v>30</v>
      </c>
      <c r="N3012" s="7">
        <v>50.6</v>
      </c>
      <c r="O3012" s="7"/>
      <c r="P3012" s="17"/>
      <c r="Q3012" s="7">
        <f>SUM(Q3008:Q3011)</f>
        <v>3288.7500000000005</v>
      </c>
      <c r="R3012" s="7"/>
      <c r="S3012" s="109"/>
      <c r="T3012" s="114"/>
      <c r="V3012" s="17"/>
      <c r="W3012" s="66">
        <v>6.1805555555555558E-2</v>
      </c>
      <c r="X3012" s="7">
        <v>87.1</v>
      </c>
      <c r="Y3012" s="7">
        <v>47</v>
      </c>
      <c r="Z3012" s="66">
        <v>6.1805555555555558E-2</v>
      </c>
    </row>
    <row r="3013" spans="2:26" x14ac:dyDescent="0.3">
      <c r="B3013" s="5">
        <f>B3012-50</f>
        <v>14850</v>
      </c>
      <c r="C3013" s="7">
        <v>49.85</v>
      </c>
      <c r="D3013" s="7">
        <v>49.7</v>
      </c>
      <c r="E3013" s="16"/>
      <c r="F3013" s="7">
        <f t="shared" si="248"/>
        <v>14800.3</v>
      </c>
      <c r="G3013" s="17"/>
      <c r="H3013" s="7">
        <v>42.7</v>
      </c>
      <c r="I3013" s="7">
        <v>34.5</v>
      </c>
      <c r="J3013" s="7">
        <v>31.45</v>
      </c>
      <c r="K3013" s="7"/>
      <c r="L3013" s="7">
        <v>24.4</v>
      </c>
      <c r="N3013" s="7">
        <v>41.6</v>
      </c>
      <c r="O3013" s="7"/>
      <c r="W3013" s="66">
        <v>8.2638888888888887E-2</v>
      </c>
      <c r="X3013" s="7">
        <v>83.5</v>
      </c>
      <c r="Y3013" s="7">
        <v>46.4</v>
      </c>
      <c r="Z3013" s="66">
        <v>8.2638888888888887E-2</v>
      </c>
    </row>
    <row r="3014" spans="2:26" x14ac:dyDescent="0.3">
      <c r="H3014" s="7"/>
      <c r="I3014" s="7">
        <v>28.05</v>
      </c>
      <c r="J3014" s="23">
        <v>25.6</v>
      </c>
      <c r="K3014" s="7"/>
      <c r="L3014" s="7">
        <v>20.100000000000001</v>
      </c>
      <c r="P3014" s="98">
        <f>Q3012</f>
        <v>3288.7500000000005</v>
      </c>
      <c r="Q3014" s="92" t="s">
        <v>72</v>
      </c>
      <c r="R3014" s="17"/>
      <c r="T3014" s="92" t="s">
        <v>73</v>
      </c>
      <c r="U3014" s="7">
        <f>((X3006+Y3006)-(X3014+Y3014))</f>
        <v>5.8500000000000227</v>
      </c>
      <c r="V3014" s="98">
        <f>U3014*150</f>
        <v>877.50000000000341</v>
      </c>
      <c r="W3014" s="66">
        <v>0.44305555555555554</v>
      </c>
      <c r="X3014" s="7">
        <v>84.55</v>
      </c>
      <c r="Y3014" s="7">
        <v>42.7</v>
      </c>
      <c r="Z3014" s="66">
        <v>9.3055555555555558E-2</v>
      </c>
    </row>
    <row r="3024" spans="2:26" x14ac:dyDescent="0.3">
      <c r="B3024" s="40"/>
      <c r="C3024" s="50">
        <f>AVERAGE(B3025,D3024)</f>
        <v>15215</v>
      </c>
      <c r="D3024" s="51">
        <f>B3025+E3025</f>
        <v>15260</v>
      </c>
      <c r="E3024" s="50">
        <f>AVERAGE(D3024,F3024)</f>
        <v>15305</v>
      </c>
      <c r="F3024" s="50">
        <f>D3024+E3025</f>
        <v>15350</v>
      </c>
      <c r="G3024" s="17"/>
      <c r="H3024" s="88" t="str">
        <f>IF((C3033-D3033)&gt;(C3044-D3044),"LONG",IF(C3044&gt;D3042,"LONG","SHORT"))</f>
        <v>SHORT</v>
      </c>
      <c r="I3024" s="104">
        <v>15170</v>
      </c>
      <c r="J3024" s="120" t="s">
        <v>122</v>
      </c>
      <c r="K3024" s="106">
        <v>15249</v>
      </c>
      <c r="L3024" s="17"/>
      <c r="N3024" s="17"/>
      <c r="O3024" s="17"/>
      <c r="U3024" s="17"/>
      <c r="V3024" s="17"/>
    </row>
    <row r="3025" spans="2:26" x14ac:dyDescent="0.3">
      <c r="B3025" s="50">
        <v>15170</v>
      </c>
      <c r="C3025" s="40"/>
      <c r="D3025" s="58"/>
      <c r="E3025" s="59">
        <f>ROUND((((B3025*F3025%)/4)/10),0)*10</f>
        <v>90</v>
      </c>
      <c r="F3025" s="51">
        <f>(100/B3025)*(F3034-F3045)</f>
        <v>2.2696110744891183</v>
      </c>
      <c r="G3025" s="17"/>
      <c r="H3025" s="93">
        <v>0.39166666666666666</v>
      </c>
      <c r="I3025" s="93">
        <v>0.39861111111111108</v>
      </c>
      <c r="J3025" s="93">
        <v>0.4055555555555555</v>
      </c>
      <c r="K3025" s="93">
        <v>0.41250000000000003</v>
      </c>
      <c r="M3025" s="50">
        <v>13500</v>
      </c>
      <c r="N3025" s="17"/>
      <c r="O3025" s="17"/>
      <c r="U3025" s="17"/>
      <c r="V3025" s="17"/>
      <c r="W3025" s="90" t="s">
        <v>68</v>
      </c>
      <c r="X3025" s="119" t="s">
        <v>69</v>
      </c>
      <c r="Y3025" s="92" t="s">
        <v>70</v>
      </c>
      <c r="Z3025" s="90" t="s">
        <v>68</v>
      </c>
    </row>
    <row r="3026" spans="2:26" x14ac:dyDescent="0.3">
      <c r="B3026" s="40"/>
      <c r="C3026" s="50">
        <f>AVERAGE(B3025,D3026)</f>
        <v>15125</v>
      </c>
      <c r="D3026" s="51">
        <f>B3025-E3025</f>
        <v>15080</v>
      </c>
      <c r="E3026" s="50">
        <f>AVERAGE(D3026,F3026)</f>
        <v>15035</v>
      </c>
      <c r="F3026" s="50">
        <f>D3026-E3025</f>
        <v>14990</v>
      </c>
      <c r="G3026" s="17"/>
      <c r="H3026" s="51">
        <v>15247.75</v>
      </c>
      <c r="I3026" s="51">
        <v>15209.35</v>
      </c>
      <c r="J3026" s="51">
        <v>15208.2</v>
      </c>
      <c r="K3026" s="51">
        <v>15197.35</v>
      </c>
      <c r="L3026" s="17"/>
      <c r="N3026" s="17"/>
      <c r="O3026" s="17"/>
      <c r="Q3026" s="17"/>
      <c r="R3026" s="17"/>
      <c r="S3026" s="17"/>
      <c r="T3026" s="16"/>
      <c r="U3026" s="17"/>
      <c r="V3026" s="17"/>
      <c r="W3026" s="66">
        <v>0.41597222222222219</v>
      </c>
      <c r="X3026" s="7">
        <v>94.25</v>
      </c>
      <c r="Y3026" s="7">
        <v>98.75</v>
      </c>
      <c r="Z3026" s="66">
        <v>0.41597222222222219</v>
      </c>
    </row>
    <row r="3027" spans="2:26" x14ac:dyDescent="0.3">
      <c r="B3027" s="17"/>
      <c r="C3027" s="17"/>
      <c r="D3027" s="17"/>
      <c r="E3027" s="17"/>
      <c r="F3027" s="16"/>
      <c r="G3027" s="16"/>
      <c r="H3027" s="17"/>
      <c r="I3027" s="17"/>
      <c r="J3027" s="17"/>
      <c r="K3027" s="16"/>
      <c r="L3027" s="17"/>
      <c r="M3027" s="17"/>
      <c r="N3027" s="17"/>
      <c r="O3027" s="17"/>
      <c r="Q3027" s="17"/>
      <c r="R3027" s="17"/>
      <c r="S3027" s="17"/>
      <c r="T3027" s="17"/>
      <c r="U3027" s="17"/>
      <c r="V3027" s="17"/>
      <c r="W3027" s="66">
        <v>0.4368055555555555</v>
      </c>
      <c r="X3027" s="7">
        <v>104.45</v>
      </c>
      <c r="Y3027" s="7">
        <v>80.349999999999994</v>
      </c>
      <c r="Z3027" s="66">
        <v>0.4368055555555555</v>
      </c>
    </row>
    <row r="3028" spans="2:26" x14ac:dyDescent="0.3">
      <c r="B3028" s="16"/>
      <c r="C3028" s="17"/>
      <c r="D3028" s="17"/>
      <c r="E3028" s="17"/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Q3028" s="17"/>
      <c r="R3028" s="17"/>
      <c r="S3028" s="17"/>
      <c r="T3028" s="17"/>
      <c r="U3028" s="17"/>
      <c r="V3028" s="17"/>
      <c r="W3028" s="66">
        <v>0.45763888888888887</v>
      </c>
      <c r="X3028" s="7">
        <v>114.5</v>
      </c>
      <c r="Y3028" s="7">
        <v>70.45</v>
      </c>
      <c r="Z3028" s="66">
        <v>0.45763888888888887</v>
      </c>
    </row>
    <row r="3029" spans="2:26" x14ac:dyDescent="0.3">
      <c r="B3029" s="16"/>
      <c r="C3029" s="95">
        <v>44340</v>
      </c>
      <c r="D3029" s="17"/>
      <c r="E3029" s="17"/>
      <c r="F3029" s="7">
        <f>AVERAGE(F3031,F3042)</f>
        <v>15192.95</v>
      </c>
      <c r="G3029" s="96"/>
      <c r="H3029" s="66">
        <v>0.1111111111111111</v>
      </c>
      <c r="I3029" s="66">
        <v>0.1277777777777778</v>
      </c>
      <c r="J3029" s="66"/>
      <c r="K3029" s="66"/>
      <c r="L3029" s="66">
        <v>0.13541666666666666</v>
      </c>
      <c r="N3029" s="66">
        <v>0.43055555555555558</v>
      </c>
      <c r="O3029" s="66">
        <v>0.14027777777777778</v>
      </c>
      <c r="Q3029" s="17"/>
      <c r="R3029" s="17"/>
      <c r="S3029" s="17"/>
      <c r="T3029" s="17"/>
      <c r="U3029" s="17"/>
      <c r="V3029" s="17"/>
      <c r="W3029" s="66">
        <v>0.47847222222222219</v>
      </c>
      <c r="X3029" s="7">
        <v>111</v>
      </c>
      <c r="Y3029" s="7">
        <v>72.349999999999994</v>
      </c>
      <c r="Z3029" s="66">
        <v>0.47847222222222219</v>
      </c>
    </row>
    <row r="3030" spans="2:26" x14ac:dyDescent="0.3">
      <c r="B3030" s="90" t="s">
        <v>68</v>
      </c>
      <c r="C3030" s="66">
        <v>0.41666666666666669</v>
      </c>
      <c r="D3030" s="66">
        <v>0.41597222222222219</v>
      </c>
      <c r="E3030" s="17"/>
      <c r="F3030" s="17"/>
      <c r="G3030" s="17"/>
      <c r="H3030" s="23">
        <v>50.8</v>
      </c>
      <c r="I3030" s="23">
        <v>42.45</v>
      </c>
      <c r="J3030" s="7"/>
      <c r="K3030" s="7"/>
      <c r="L3030" s="7">
        <v>15212.8</v>
      </c>
      <c r="N3030" s="7">
        <v>15204.15</v>
      </c>
      <c r="O3030" s="23">
        <v>27.25</v>
      </c>
      <c r="U3030" s="17"/>
      <c r="V3030" s="17"/>
      <c r="W3030" s="66">
        <v>0.4993055555555555</v>
      </c>
      <c r="X3030" s="7">
        <v>106.1</v>
      </c>
      <c r="Y3030" s="7">
        <v>75.650000000000006</v>
      </c>
      <c r="Z3030" s="66">
        <v>0.4993055555555555</v>
      </c>
    </row>
    <row r="3031" spans="2:26" x14ac:dyDescent="0.3">
      <c r="B3031" s="5">
        <f>B3032-50</f>
        <v>15150</v>
      </c>
      <c r="C3031" s="7">
        <v>121.55</v>
      </c>
      <c r="D3031" s="7">
        <v>121.55</v>
      </c>
      <c r="E3031" s="16"/>
      <c r="F3031" s="7">
        <f t="shared" ref="F3031:F3036" si="250">B3031+D3031</f>
        <v>15271.55</v>
      </c>
      <c r="G3031" s="17"/>
      <c r="H3031" s="7">
        <v>151.85</v>
      </c>
      <c r="I3031" s="7">
        <v>137.85</v>
      </c>
      <c r="J3031" s="7"/>
      <c r="K3031" s="7"/>
      <c r="L3031" s="7">
        <v>131.44999999999999</v>
      </c>
      <c r="N3031" s="7">
        <v>135</v>
      </c>
      <c r="O3031" s="7">
        <v>110.4</v>
      </c>
      <c r="Q3031" s="150" t="s">
        <v>129</v>
      </c>
      <c r="R3031" s="151"/>
      <c r="S3031" s="151"/>
      <c r="T3031" s="151"/>
      <c r="V3031" s="17"/>
      <c r="W3031" s="66">
        <v>0.52013888888888882</v>
      </c>
      <c r="X3031" s="7">
        <v>106.05</v>
      </c>
      <c r="Y3031" s="7">
        <v>74.05</v>
      </c>
      <c r="Z3031" s="66">
        <v>0.52013888888888882</v>
      </c>
    </row>
    <row r="3032" spans="2:26" x14ac:dyDescent="0.3">
      <c r="B3032" s="5">
        <f>B3033-50</f>
        <v>15200</v>
      </c>
      <c r="C3032" s="7">
        <v>94.25</v>
      </c>
      <c r="D3032" s="7">
        <v>94.25</v>
      </c>
      <c r="E3032" s="16"/>
      <c r="F3032" s="7">
        <f t="shared" si="250"/>
        <v>15294.25</v>
      </c>
      <c r="G3032" s="17"/>
      <c r="H3032" s="7">
        <v>120.3</v>
      </c>
      <c r="I3032" s="7">
        <v>107.15</v>
      </c>
      <c r="J3032" s="7"/>
      <c r="K3032" s="7"/>
      <c r="L3032" s="7">
        <v>101.45</v>
      </c>
      <c r="N3032" s="7">
        <v>106.25</v>
      </c>
      <c r="O3032" s="7">
        <v>82.65</v>
      </c>
      <c r="P3032" s="17"/>
      <c r="Q3032" s="159">
        <v>44333</v>
      </c>
      <c r="R3032" s="161">
        <v>14791</v>
      </c>
      <c r="S3032" s="161">
        <v>14951</v>
      </c>
      <c r="T3032" s="159">
        <v>44333</v>
      </c>
      <c r="V3032" s="17"/>
      <c r="W3032" s="66">
        <v>0.54097222222222219</v>
      </c>
      <c r="X3032" s="7">
        <v>97.65</v>
      </c>
      <c r="Y3032" s="7">
        <v>82.05</v>
      </c>
      <c r="Z3032" s="66">
        <v>0.54097222222222219</v>
      </c>
    </row>
    <row r="3033" spans="2:26" x14ac:dyDescent="0.3">
      <c r="B3033" s="97">
        <v>15250</v>
      </c>
      <c r="C3033" s="7">
        <v>71.7</v>
      </c>
      <c r="D3033" s="7">
        <v>71.7</v>
      </c>
      <c r="E3033" s="16"/>
      <c r="F3033" s="7">
        <f t="shared" si="250"/>
        <v>15321.7</v>
      </c>
      <c r="G3033" s="17"/>
      <c r="H3033" s="7">
        <v>92.5</v>
      </c>
      <c r="I3033" s="7">
        <v>81.099999999999994</v>
      </c>
      <c r="J3033" s="7"/>
      <c r="K3033" s="7"/>
      <c r="L3033" s="7">
        <v>76.150000000000006</v>
      </c>
      <c r="N3033" s="7">
        <v>81.7</v>
      </c>
      <c r="O3033" s="7">
        <v>59.35</v>
      </c>
      <c r="P3033" s="17"/>
      <c r="Q3033" s="159">
        <v>44336</v>
      </c>
      <c r="R3033" s="161">
        <v>14924.1</v>
      </c>
      <c r="S3033" s="161">
        <v>15024.1</v>
      </c>
      <c r="T3033" s="159">
        <v>44336</v>
      </c>
      <c r="V3033" s="17"/>
      <c r="W3033" s="66">
        <v>6.1805555555555558E-2</v>
      </c>
      <c r="X3033" s="7">
        <v>108.85</v>
      </c>
      <c r="Y3033" s="7">
        <v>67.7</v>
      </c>
      <c r="Z3033" s="66">
        <v>6.1805555555555558E-2</v>
      </c>
    </row>
    <row r="3034" spans="2:26" x14ac:dyDescent="0.3">
      <c r="B3034" s="5">
        <f>B3033+50</f>
        <v>15300</v>
      </c>
      <c r="C3034" s="7">
        <v>53.05</v>
      </c>
      <c r="D3034" s="7">
        <v>53.05</v>
      </c>
      <c r="E3034" s="16"/>
      <c r="F3034" s="98">
        <f t="shared" si="250"/>
        <v>15353.05</v>
      </c>
      <c r="G3034" s="17"/>
      <c r="H3034" s="7">
        <v>69.099999999999994</v>
      </c>
      <c r="I3034" s="7">
        <v>59.4</v>
      </c>
      <c r="J3034" s="7"/>
      <c r="K3034" s="7"/>
      <c r="L3034" s="7">
        <v>55</v>
      </c>
      <c r="N3034" s="7">
        <v>60.75</v>
      </c>
      <c r="O3034" s="7">
        <v>41.1</v>
      </c>
      <c r="P3034" s="17"/>
      <c r="Q3034" s="159">
        <v>44335</v>
      </c>
      <c r="R3034" s="161">
        <v>15041.15</v>
      </c>
      <c r="S3034" s="161">
        <v>15140.5</v>
      </c>
      <c r="T3034" s="159">
        <v>44334</v>
      </c>
      <c r="V3034" s="17"/>
      <c r="W3034" s="66">
        <v>8.2638888888888887E-2</v>
      </c>
      <c r="X3034" s="7">
        <v>107.25</v>
      </c>
      <c r="Y3034" s="7">
        <v>66.3</v>
      </c>
      <c r="Z3034" s="66">
        <v>8.2638888888888887E-2</v>
      </c>
    </row>
    <row r="3035" spans="2:26" x14ac:dyDescent="0.3">
      <c r="B3035" s="99">
        <f>B3034+50</f>
        <v>15350</v>
      </c>
      <c r="C3035" s="51">
        <v>38.4</v>
      </c>
      <c r="D3035" s="7">
        <v>38.4</v>
      </c>
      <c r="E3035" s="16"/>
      <c r="F3035" s="7">
        <f t="shared" si="250"/>
        <v>15388.4</v>
      </c>
      <c r="G3035" s="16">
        <f>SUM(H3035,H3046)-H3045</f>
        <v>42.449999999999996</v>
      </c>
      <c r="H3035" s="7">
        <v>50.3</v>
      </c>
      <c r="I3035" s="7">
        <v>42.25</v>
      </c>
      <c r="J3035" s="7"/>
      <c r="K3035" s="7"/>
      <c r="L3035" s="7">
        <v>38.700000000000003</v>
      </c>
      <c r="M3035" s="40">
        <f>(O3035+O3046)-O3045</f>
        <v>16.700000000000003</v>
      </c>
      <c r="N3035" s="7">
        <v>43.85</v>
      </c>
      <c r="O3035" s="7">
        <v>27.25</v>
      </c>
      <c r="P3035" s="17"/>
      <c r="Q3035" s="159">
        <v>44337</v>
      </c>
      <c r="R3035" s="161">
        <v>15082.3</v>
      </c>
      <c r="S3035" s="161">
        <v>15141.15</v>
      </c>
      <c r="T3035" s="159">
        <v>44335</v>
      </c>
      <c r="V3035" s="17"/>
    </row>
    <row r="3036" spans="2:26" x14ac:dyDescent="0.3">
      <c r="B3036" s="5">
        <f>B3035+50</f>
        <v>15400</v>
      </c>
      <c r="C3036" s="7">
        <v>27.25</v>
      </c>
      <c r="D3036" s="7">
        <v>27.25</v>
      </c>
      <c r="E3036" s="16">
        <f>E3037-(F3037-E3037)</f>
        <v>18.799999999999997</v>
      </c>
      <c r="F3036" s="7">
        <f t="shared" si="250"/>
        <v>15427.25</v>
      </c>
      <c r="G3036" s="16"/>
      <c r="H3036" s="7">
        <v>35.6</v>
      </c>
      <c r="I3036" s="7">
        <v>29.5</v>
      </c>
      <c r="J3036" s="7"/>
      <c r="K3036" s="7"/>
      <c r="L3036" s="7">
        <v>26.5</v>
      </c>
      <c r="N3036" s="7">
        <v>31.3</v>
      </c>
      <c r="O3036" s="7">
        <v>18.25</v>
      </c>
      <c r="P3036" s="17"/>
      <c r="Q3036" s="159">
        <v>44334</v>
      </c>
      <c r="R3036" s="161">
        <v>15105.5</v>
      </c>
      <c r="S3036" s="161">
        <v>15217.3</v>
      </c>
      <c r="T3036" s="159">
        <v>44337</v>
      </c>
      <c r="V3036" s="17"/>
    </row>
    <row r="3037" spans="2:26" x14ac:dyDescent="0.3">
      <c r="B3037" s="17"/>
      <c r="C3037" s="17"/>
      <c r="D3037" s="16"/>
      <c r="E3037" s="16">
        <f>F3037-(G3037-F3037)</f>
        <v>34.799999999999997</v>
      </c>
      <c r="F3037" s="16">
        <f>AVERAGE(C3034,C3046)</f>
        <v>50.8</v>
      </c>
      <c r="G3037" s="16">
        <f>AVERAGE(C3033,C3045)</f>
        <v>66.8</v>
      </c>
      <c r="H3037" s="7"/>
      <c r="I3037" s="7"/>
      <c r="J3037" s="7"/>
      <c r="K3037" s="7"/>
      <c r="L3037" s="7"/>
      <c r="O3037" s="7"/>
      <c r="P3037" s="17"/>
      <c r="V3037" s="16"/>
    </row>
    <row r="3038" spans="2:26" x14ac:dyDescent="0.3">
      <c r="B3038" s="17"/>
      <c r="C3038" s="17"/>
      <c r="D3038" s="16"/>
      <c r="E3038" s="16"/>
      <c r="F3038" s="16"/>
      <c r="G3038" s="16"/>
      <c r="J3038" s="17"/>
      <c r="P3038" s="17"/>
      <c r="Q3038" s="17"/>
      <c r="R3038" s="17"/>
      <c r="S3038" s="17"/>
      <c r="T3038" s="16"/>
      <c r="V3038" s="16"/>
      <c r="W3038" s="90" t="s">
        <v>68</v>
      </c>
      <c r="X3038" s="119" t="s">
        <v>69</v>
      </c>
      <c r="Y3038" s="92" t="s">
        <v>70</v>
      </c>
      <c r="Z3038" s="90" t="s">
        <v>68</v>
      </c>
    </row>
    <row r="3039" spans="2:26" x14ac:dyDescent="0.3">
      <c r="B3039" s="17"/>
      <c r="C3039" s="17"/>
      <c r="D3039" s="16"/>
      <c r="E3039" s="16"/>
      <c r="F3039" s="16"/>
      <c r="G3039" s="16"/>
      <c r="H3039" s="101"/>
      <c r="I3039" s="101"/>
      <c r="J3039" s="101"/>
      <c r="K3039" s="101"/>
      <c r="L3039" s="101"/>
      <c r="N3039" s="101"/>
      <c r="O3039" s="101"/>
      <c r="P3039" s="17"/>
      <c r="Q3039" s="17"/>
      <c r="R3039" s="17"/>
      <c r="S3039" s="17"/>
      <c r="T3039" s="16"/>
      <c r="V3039" s="16"/>
      <c r="W3039" s="66">
        <v>0.41597222222222219</v>
      </c>
      <c r="X3039" s="7">
        <v>38.4</v>
      </c>
      <c r="Y3039" s="7">
        <v>48.55</v>
      </c>
      <c r="Z3039" s="66">
        <v>0.41597222222222219</v>
      </c>
    </row>
    <row r="3040" spans="2:26" x14ac:dyDescent="0.3">
      <c r="B3040" s="16"/>
      <c r="C3040" s="95">
        <v>44343</v>
      </c>
      <c r="D3040" s="17"/>
      <c r="F3040" s="16"/>
      <c r="H3040" s="66">
        <v>0.1111111111111111</v>
      </c>
      <c r="I3040" s="66">
        <v>0.1277777777777778</v>
      </c>
      <c r="J3040" s="66"/>
      <c r="K3040" s="66"/>
      <c r="L3040" s="66">
        <v>0.13541666666666666</v>
      </c>
      <c r="N3040" s="66">
        <v>0.43055555555555558</v>
      </c>
      <c r="O3040" s="66">
        <v>0.14027777777777778</v>
      </c>
      <c r="P3040" s="17"/>
      <c r="Q3040" s="155" t="s">
        <v>72</v>
      </c>
      <c r="R3040" s="155"/>
      <c r="S3040" s="155"/>
      <c r="T3040" s="155"/>
      <c r="V3040" s="17"/>
      <c r="W3040" s="66">
        <v>0.4368055555555555</v>
      </c>
      <c r="X3040" s="7">
        <v>42.55</v>
      </c>
      <c r="Y3040" s="7">
        <v>38.200000000000003</v>
      </c>
      <c r="Z3040" s="66">
        <v>0.4368055555555555</v>
      </c>
    </row>
    <row r="3041" spans="2:26" x14ac:dyDescent="0.3">
      <c r="B3041" s="90" t="s">
        <v>68</v>
      </c>
      <c r="C3041" s="66">
        <v>0.41666666666666669</v>
      </c>
      <c r="D3041" s="66">
        <v>0.39166666666666666</v>
      </c>
      <c r="E3041" s="16">
        <f>F3041-(G3041-F3041)</f>
        <v>39.599999999999994</v>
      </c>
      <c r="F3041" s="16">
        <f>AVERAGE(C3045,C3034)</f>
        <v>57.474999999999994</v>
      </c>
      <c r="G3041" s="16">
        <f>AVERAGE(C3044,C3033)</f>
        <v>75.349999999999994</v>
      </c>
      <c r="H3041" s="7">
        <v>15244.05</v>
      </c>
      <c r="I3041" s="7">
        <v>19.100000000000001</v>
      </c>
      <c r="J3041" s="7"/>
      <c r="K3041" s="7"/>
      <c r="L3041" s="7">
        <v>15212.8</v>
      </c>
      <c r="N3041" s="23">
        <v>37.4</v>
      </c>
      <c r="O3041" s="7">
        <v>97</v>
      </c>
      <c r="P3041" s="17"/>
      <c r="Q3041" s="34"/>
      <c r="R3041" s="34" t="s">
        <v>111</v>
      </c>
      <c r="S3041" s="34" t="s">
        <v>2</v>
      </c>
      <c r="T3041" s="34" t="s">
        <v>1</v>
      </c>
      <c r="V3041" s="17"/>
      <c r="W3041" s="66">
        <v>0.45763888888888887</v>
      </c>
      <c r="X3041" s="7">
        <v>46.9</v>
      </c>
      <c r="Y3041" s="7">
        <v>32.75</v>
      </c>
      <c r="Z3041" s="66">
        <v>0.45763888888888887</v>
      </c>
    </row>
    <row r="3042" spans="2:26" x14ac:dyDescent="0.3">
      <c r="B3042" s="5">
        <f>B3043+50</f>
        <v>15200</v>
      </c>
      <c r="C3042" s="7">
        <v>122.55</v>
      </c>
      <c r="D3042" s="7">
        <v>85.65</v>
      </c>
      <c r="E3042" s="16">
        <f>E3041-(F3041-E3041)</f>
        <v>21.724999999999994</v>
      </c>
      <c r="F3042" s="7">
        <f t="shared" ref="F3042:F3047" si="251">B3042-D3042</f>
        <v>15114.35</v>
      </c>
      <c r="G3042" s="16"/>
      <c r="H3042" s="7">
        <v>76.650000000000006</v>
      </c>
      <c r="I3042" s="7">
        <v>82.45</v>
      </c>
      <c r="J3042" s="7"/>
      <c r="K3042" s="7"/>
      <c r="L3042" s="7">
        <v>87.45</v>
      </c>
      <c r="N3042" s="7">
        <v>100.3</v>
      </c>
      <c r="O3042" s="7">
        <v>97</v>
      </c>
      <c r="P3042" s="17"/>
      <c r="Q3042" s="7">
        <f>(R3042)*(T3042-S3042)</f>
        <v>-626.24999999999955</v>
      </c>
      <c r="R3042" s="109">
        <v>75</v>
      </c>
      <c r="S3042" s="7">
        <v>50.8</v>
      </c>
      <c r="T3042" s="18">
        <v>42.45</v>
      </c>
      <c r="V3042" s="16"/>
      <c r="W3042" s="66">
        <v>0.47847222222222219</v>
      </c>
      <c r="X3042" s="7">
        <v>45.25</v>
      </c>
      <c r="Y3042" s="7">
        <v>33.700000000000003</v>
      </c>
      <c r="Z3042" s="66">
        <v>0.47847222222222219</v>
      </c>
    </row>
    <row r="3043" spans="2:26" x14ac:dyDescent="0.3">
      <c r="B3043" s="5">
        <f>B3044+50</f>
        <v>15150</v>
      </c>
      <c r="C3043" s="7">
        <v>98.75</v>
      </c>
      <c r="D3043" s="7">
        <v>67.75</v>
      </c>
      <c r="E3043" s="16"/>
      <c r="F3043" s="7">
        <f t="shared" si="251"/>
        <v>15082.25</v>
      </c>
      <c r="G3043" s="17"/>
      <c r="H3043" s="7">
        <v>57.95</v>
      </c>
      <c r="I3043" s="7">
        <v>62.65</v>
      </c>
      <c r="J3043" s="7"/>
      <c r="K3043" s="7"/>
      <c r="L3043" s="7">
        <v>67.25</v>
      </c>
      <c r="N3043" s="7">
        <v>79.099999999999994</v>
      </c>
      <c r="O3043" s="7">
        <v>74.599999999999994</v>
      </c>
      <c r="P3043" s="17"/>
      <c r="Q3043" s="7">
        <f t="shared" ref="Q3043:Q3045" si="252">(R3043)*(T3043-S3043)</f>
        <v>-907.49999999999955</v>
      </c>
      <c r="R3043" s="109">
        <v>75</v>
      </c>
      <c r="S3043" s="7">
        <v>50.8</v>
      </c>
      <c r="T3043" s="18">
        <v>38.700000000000003</v>
      </c>
      <c r="V3043" s="16"/>
      <c r="W3043" s="66">
        <v>0.4993055555555555</v>
      </c>
      <c r="X3043" s="7">
        <v>42.1</v>
      </c>
      <c r="Y3043" s="7">
        <v>35.200000000000003</v>
      </c>
      <c r="Z3043" s="66">
        <v>0.4993055555555555</v>
      </c>
    </row>
    <row r="3044" spans="2:26" x14ac:dyDescent="0.3">
      <c r="B3044" s="97">
        <v>15100</v>
      </c>
      <c r="C3044" s="7">
        <v>79</v>
      </c>
      <c r="D3044" s="7">
        <v>52.6</v>
      </c>
      <c r="E3044" s="16"/>
      <c r="F3044" s="7">
        <f t="shared" si="251"/>
        <v>15047.4</v>
      </c>
      <c r="G3044" s="17"/>
      <c r="H3044" s="7">
        <v>43.9</v>
      </c>
      <c r="I3044" s="7">
        <v>46.6</v>
      </c>
      <c r="J3044" s="7"/>
      <c r="K3044" s="7"/>
      <c r="L3044" s="7">
        <v>60.5</v>
      </c>
      <c r="N3044" s="7">
        <v>61.7</v>
      </c>
      <c r="O3044" s="7">
        <v>56.3</v>
      </c>
      <c r="P3044" s="17"/>
      <c r="Q3044" s="7">
        <f t="shared" si="252"/>
        <v>0</v>
      </c>
      <c r="R3044" s="109"/>
      <c r="S3044" s="18"/>
      <c r="T3044" s="18"/>
      <c r="V3044" s="17"/>
      <c r="W3044" s="66">
        <v>0.52013888888888882</v>
      </c>
      <c r="X3044" s="7">
        <v>42.25</v>
      </c>
      <c r="Y3044" s="7">
        <v>34.450000000000003</v>
      </c>
      <c r="Z3044" s="66">
        <v>0.52013888888888882</v>
      </c>
    </row>
    <row r="3045" spans="2:26" x14ac:dyDescent="0.3">
      <c r="B3045" s="14">
        <f>B3044-50</f>
        <v>15050</v>
      </c>
      <c r="C3045" s="7">
        <v>61.9</v>
      </c>
      <c r="D3045" s="7">
        <v>41.25</v>
      </c>
      <c r="E3045" s="16"/>
      <c r="F3045" s="98">
        <f t="shared" si="251"/>
        <v>15008.75</v>
      </c>
      <c r="G3045" s="17"/>
      <c r="H3045" s="7">
        <v>32.9</v>
      </c>
      <c r="I3045" s="7">
        <v>34.6</v>
      </c>
      <c r="J3045" s="7"/>
      <c r="K3045" s="7"/>
      <c r="L3045" s="7">
        <v>38</v>
      </c>
      <c r="N3045" s="7">
        <v>47.85</v>
      </c>
      <c r="O3045" s="7">
        <v>42.15</v>
      </c>
      <c r="P3045" s="17"/>
      <c r="Q3045" s="7">
        <f t="shared" si="252"/>
        <v>0</v>
      </c>
      <c r="R3045" s="109"/>
      <c r="S3045" s="18"/>
      <c r="T3045" s="18"/>
      <c r="V3045" s="17"/>
      <c r="W3045" s="66">
        <v>0.54097222222222219</v>
      </c>
      <c r="X3045" s="7">
        <v>37.049999999999997</v>
      </c>
      <c r="Y3045" s="7">
        <v>39.1</v>
      </c>
      <c r="Z3045" s="66">
        <v>0.54097222222222219</v>
      </c>
    </row>
    <row r="3046" spans="2:26" x14ac:dyDescent="0.3">
      <c r="B3046" s="99">
        <f>B3045-50</f>
        <v>15000</v>
      </c>
      <c r="C3046" s="51">
        <v>48.55</v>
      </c>
      <c r="D3046" s="7">
        <v>32.15</v>
      </c>
      <c r="E3046" s="16"/>
      <c r="F3046" s="7">
        <f t="shared" si="251"/>
        <v>14967.85</v>
      </c>
      <c r="G3046" s="17"/>
      <c r="H3046" s="7">
        <v>25.05</v>
      </c>
      <c r="I3046" s="7">
        <v>25.8</v>
      </c>
      <c r="J3046" s="7"/>
      <c r="K3046" s="7"/>
      <c r="L3046" s="7">
        <v>28.55</v>
      </c>
      <c r="M3046" s="40">
        <f>(O3046+O3035)-O3034</f>
        <v>17.75</v>
      </c>
      <c r="N3046" s="7">
        <v>37.049999999999997</v>
      </c>
      <c r="O3046" s="7">
        <v>31.6</v>
      </c>
      <c r="P3046" s="17"/>
      <c r="Q3046" s="7">
        <f>SUM(Q3042:Q3045)</f>
        <v>-1533.7499999999991</v>
      </c>
      <c r="R3046" s="7"/>
      <c r="S3046" s="109"/>
      <c r="T3046" s="114"/>
      <c r="V3046" s="17"/>
      <c r="W3046" s="66">
        <v>6.1805555555555558E-2</v>
      </c>
      <c r="X3046" s="7">
        <v>43.6</v>
      </c>
      <c r="Y3046" s="7">
        <v>30</v>
      </c>
      <c r="Z3046" s="66">
        <v>6.1805555555555558E-2</v>
      </c>
    </row>
    <row r="3047" spans="2:26" x14ac:dyDescent="0.3">
      <c r="B3047" s="5">
        <f>B3046-50</f>
        <v>14950</v>
      </c>
      <c r="C3047" s="7">
        <v>37.4</v>
      </c>
      <c r="D3047" s="7">
        <v>24.65</v>
      </c>
      <c r="E3047" s="16"/>
      <c r="F3047" s="7">
        <f t="shared" si="251"/>
        <v>14925.35</v>
      </c>
      <c r="G3047" s="17"/>
      <c r="H3047" s="7">
        <v>19.100000000000001</v>
      </c>
      <c r="I3047" s="7">
        <v>19.45</v>
      </c>
      <c r="J3047" s="7"/>
      <c r="K3047" s="7"/>
      <c r="L3047" s="7">
        <v>21.3</v>
      </c>
      <c r="M3047" s="40"/>
      <c r="N3047" s="7">
        <v>28.35</v>
      </c>
      <c r="O3047" s="7">
        <v>23.6</v>
      </c>
      <c r="W3047" s="66">
        <v>8.2638888888888887E-2</v>
      </c>
      <c r="X3047" s="7">
        <v>42.25</v>
      </c>
      <c r="Y3047" s="7">
        <v>28.85</v>
      </c>
      <c r="Z3047" s="66">
        <v>8.2638888888888887E-2</v>
      </c>
    </row>
    <row r="3048" spans="2:26" x14ac:dyDescent="0.3">
      <c r="H3048" s="7"/>
      <c r="I3048" s="7"/>
      <c r="J3048" s="7"/>
      <c r="K3048" s="7"/>
      <c r="L3048" s="7"/>
      <c r="P3048" s="98">
        <f>Q3046</f>
        <v>-1533.7499999999991</v>
      </c>
      <c r="Q3048" s="92" t="s">
        <v>72</v>
      </c>
      <c r="R3048" s="17"/>
      <c r="T3048" s="92" t="s">
        <v>73</v>
      </c>
      <c r="U3048" s="7">
        <f>((X3040+Y3040)-(X3048+Y3048))</f>
        <v>9.6500000000000057</v>
      </c>
      <c r="V3048" s="98">
        <f>U3048*150</f>
        <v>1447.5000000000009</v>
      </c>
      <c r="W3048" s="66">
        <v>8.3333333333333329E-2</v>
      </c>
      <c r="X3048" s="7">
        <v>42.25</v>
      </c>
      <c r="Y3048" s="7">
        <v>28.85</v>
      </c>
      <c r="Z3048" s="66">
        <v>8.3333333333333329E-2</v>
      </c>
    </row>
    <row r="3049" spans="2:26" x14ac:dyDescent="0.3">
      <c r="D3049" s="40"/>
      <c r="G3049" s="101"/>
      <c r="H3049" s="40"/>
    </row>
    <row r="3058" spans="2:26" x14ac:dyDescent="0.3">
      <c r="B3058" s="40"/>
      <c r="C3058" s="50">
        <f>AVERAGE(B3059,D3058)</f>
        <v>15306</v>
      </c>
      <c r="D3058" s="51">
        <f>B3059+E3059</f>
        <v>15336</v>
      </c>
      <c r="E3058" s="50">
        <f>AVERAGE(D3058,F3058)</f>
        <v>15366</v>
      </c>
      <c r="F3058" s="50">
        <f>D3058+E3059</f>
        <v>15396</v>
      </c>
      <c r="G3058" s="17"/>
      <c r="H3058" s="88" t="str">
        <f>IF((C3067-D3067)&gt;(C3078-D3078),"LONG",IF(C3078&gt;D3076,"LONG","SHORT"))</f>
        <v>SHORT</v>
      </c>
      <c r="I3058" s="104"/>
      <c r="J3058" s="120" t="s">
        <v>122</v>
      </c>
      <c r="K3058" s="106"/>
      <c r="L3058" s="17"/>
      <c r="N3058" s="17"/>
      <c r="O3058" s="17"/>
      <c r="U3058" s="17"/>
      <c r="V3058" s="17"/>
    </row>
    <row r="3059" spans="2:26" x14ac:dyDescent="0.3">
      <c r="B3059" s="50">
        <v>15276</v>
      </c>
      <c r="C3059" s="40"/>
      <c r="D3059" s="58"/>
      <c r="E3059" s="59">
        <f>ROUND((((B3059*F3059%)/4)/10),0)*10</f>
        <v>60</v>
      </c>
      <c r="F3059" s="51">
        <f>(100/B3059)*(F3068-F3079)</f>
        <v>1.5377062058130377</v>
      </c>
      <c r="G3059" s="17"/>
      <c r="H3059" s="93">
        <v>0.39166666666666666</v>
      </c>
      <c r="I3059" s="93">
        <v>0.39861111111111108</v>
      </c>
      <c r="J3059" s="93">
        <v>0.4055555555555555</v>
      </c>
      <c r="K3059" s="93">
        <v>0.41250000000000003</v>
      </c>
      <c r="M3059" s="50">
        <v>12000</v>
      </c>
      <c r="N3059" s="17"/>
      <c r="O3059" s="17"/>
      <c r="U3059" s="17"/>
      <c r="V3059" s="17"/>
      <c r="W3059" s="90" t="s">
        <v>68</v>
      </c>
      <c r="X3059" s="119" t="s">
        <v>69</v>
      </c>
      <c r="Y3059" s="92" t="s">
        <v>70</v>
      </c>
      <c r="Z3059" s="90" t="s">
        <v>68</v>
      </c>
    </row>
    <row r="3060" spans="2:26" x14ac:dyDescent="0.3">
      <c r="B3060" s="40"/>
      <c r="C3060" s="50">
        <f>AVERAGE(B3059,D3060)</f>
        <v>15246</v>
      </c>
      <c r="D3060" s="51">
        <f>B3059-E3059</f>
        <v>15216</v>
      </c>
      <c r="E3060" s="50">
        <f>AVERAGE(D3060,F3060)</f>
        <v>15186</v>
      </c>
      <c r="F3060" s="50">
        <f>D3060-E3059</f>
        <v>15156</v>
      </c>
      <c r="G3060" s="17"/>
      <c r="H3060" s="51"/>
      <c r="I3060" s="51"/>
      <c r="J3060" s="51"/>
      <c r="K3060" s="51"/>
      <c r="L3060" s="17"/>
      <c r="N3060" s="17"/>
      <c r="O3060" s="17"/>
      <c r="Q3060" s="17"/>
      <c r="R3060" s="17"/>
      <c r="S3060" s="17"/>
      <c r="T3060" s="16"/>
      <c r="U3060" s="17"/>
      <c r="V3060" s="17"/>
      <c r="W3060" s="66">
        <v>0.41597222222222219</v>
      </c>
      <c r="X3060" s="7">
        <v>120</v>
      </c>
      <c r="Y3060" s="7">
        <v>124.85</v>
      </c>
      <c r="Z3060" s="66">
        <v>0.41597222222222219</v>
      </c>
    </row>
    <row r="3061" spans="2:26" x14ac:dyDescent="0.3">
      <c r="B3061" s="17"/>
      <c r="C3061" s="17"/>
      <c r="D3061" s="17"/>
      <c r="E3061" s="17"/>
      <c r="F3061" s="16"/>
      <c r="G3061" s="16"/>
      <c r="H3061" s="17"/>
      <c r="I3061" s="17"/>
      <c r="J3061" s="17"/>
      <c r="K3061" s="16"/>
      <c r="L3061" s="17"/>
      <c r="M3061" s="17"/>
      <c r="N3061" s="17"/>
      <c r="O3061" s="17"/>
      <c r="Q3061" s="17"/>
      <c r="R3061" s="17"/>
      <c r="S3061" s="17"/>
      <c r="T3061" s="17"/>
      <c r="U3061" s="17"/>
      <c r="V3061" s="17"/>
      <c r="W3061" s="66">
        <v>0.4368055555555555</v>
      </c>
      <c r="X3061" s="7">
        <v>125.7</v>
      </c>
      <c r="Y3061" s="7">
        <v>115.15</v>
      </c>
      <c r="Z3061" s="66">
        <v>0.4368055555555555</v>
      </c>
    </row>
    <row r="3062" spans="2:26" x14ac:dyDescent="0.3">
      <c r="B3062" s="16"/>
      <c r="C3062" s="17"/>
      <c r="D3062" s="17"/>
      <c r="E3062" s="17"/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Q3062" s="17"/>
      <c r="R3062" s="17"/>
      <c r="S3062" s="17"/>
      <c r="T3062" s="17"/>
      <c r="U3062" s="17"/>
      <c r="V3062" s="17"/>
      <c r="W3062" s="66">
        <v>0.45763888888888887</v>
      </c>
      <c r="X3062" s="7">
        <v>114.9</v>
      </c>
      <c r="Y3062" s="7">
        <v>128.80000000000001</v>
      </c>
      <c r="Z3062" s="66">
        <v>0.45763888888888887</v>
      </c>
    </row>
    <row r="3063" spans="2:26" x14ac:dyDescent="0.3">
      <c r="B3063" s="16"/>
      <c r="C3063" s="95">
        <v>44341</v>
      </c>
      <c r="D3063" s="17"/>
      <c r="E3063" s="17"/>
      <c r="F3063" s="7">
        <f>AVERAGE(F3065,F3076)</f>
        <v>15274.9</v>
      </c>
      <c r="G3063" s="96"/>
      <c r="H3063" s="66">
        <v>0.4694444444444445</v>
      </c>
      <c r="I3063" s="66">
        <v>0.49027777777777781</v>
      </c>
      <c r="J3063" s="66">
        <v>9.1666666666666674E-2</v>
      </c>
      <c r="K3063" s="66"/>
      <c r="L3063" s="66"/>
      <c r="N3063" s="66">
        <v>6.0416666666666667E-2</v>
      </c>
      <c r="O3063" s="66"/>
      <c r="Q3063" s="17"/>
      <c r="R3063" s="17"/>
      <c r="S3063" s="17"/>
      <c r="T3063" s="17"/>
      <c r="U3063" s="17"/>
      <c r="V3063" s="17"/>
      <c r="W3063" s="66">
        <v>0.47847222222222219</v>
      </c>
      <c r="X3063" s="7">
        <v>111.15</v>
      </c>
      <c r="Y3063" s="7">
        <v>130.25</v>
      </c>
      <c r="Z3063" s="66">
        <v>0.47847222222222219</v>
      </c>
    </row>
    <row r="3064" spans="2:26" x14ac:dyDescent="0.3">
      <c r="B3064" s="90" t="s">
        <v>68</v>
      </c>
      <c r="C3064" s="66">
        <v>0.41666666666666669</v>
      </c>
      <c r="D3064" s="66">
        <v>0.41041666666666665</v>
      </c>
      <c r="E3064" s="17"/>
      <c r="F3064" s="17"/>
      <c r="G3064" s="17"/>
      <c r="H3064" s="7">
        <v>15233.1</v>
      </c>
      <c r="I3064" s="7">
        <v>15270.35</v>
      </c>
      <c r="J3064" s="7">
        <v>15183.5</v>
      </c>
      <c r="K3064" s="7"/>
      <c r="L3064" s="7"/>
      <c r="N3064" s="23">
        <v>27.9</v>
      </c>
      <c r="O3064" s="7"/>
      <c r="U3064" s="17"/>
      <c r="V3064" s="17"/>
      <c r="W3064" s="66">
        <v>0.4993055555555555</v>
      </c>
      <c r="X3064" s="7">
        <v>111.15</v>
      </c>
      <c r="Y3064" s="7">
        <v>128.85</v>
      </c>
      <c r="Z3064" s="66">
        <v>0.4993055555555555</v>
      </c>
    </row>
    <row r="3065" spans="2:26" x14ac:dyDescent="0.3">
      <c r="B3065" s="5">
        <f>B3066-50</f>
        <v>15200</v>
      </c>
      <c r="C3065" s="7">
        <v>120</v>
      </c>
      <c r="D3065" s="7">
        <v>113.4</v>
      </c>
      <c r="E3065" s="16"/>
      <c r="F3065" s="7">
        <f t="shared" ref="F3065:F3070" si="253">B3065+D3065</f>
        <v>15313.4</v>
      </c>
      <c r="G3065" s="17"/>
      <c r="H3065" s="7">
        <v>101.15</v>
      </c>
      <c r="I3065" s="7">
        <v>118</v>
      </c>
      <c r="J3065" s="7">
        <v>76</v>
      </c>
      <c r="K3065" s="7"/>
      <c r="L3065" s="7"/>
      <c r="N3065" s="7">
        <v>93.15</v>
      </c>
      <c r="O3065" s="7"/>
      <c r="Q3065" s="150" t="s">
        <v>129</v>
      </c>
      <c r="R3065" s="151"/>
      <c r="S3065" s="151"/>
      <c r="T3065" s="151"/>
      <c r="V3065" s="17"/>
      <c r="W3065" s="66">
        <v>0.52013888888888882</v>
      </c>
      <c r="X3065" s="7">
        <v>111.9</v>
      </c>
      <c r="Y3065" s="7">
        <v>126.3</v>
      </c>
      <c r="Z3065" s="66">
        <v>0.52013888888888882</v>
      </c>
    </row>
    <row r="3066" spans="2:26" x14ac:dyDescent="0.3">
      <c r="B3066" s="5">
        <f>B3067-50</f>
        <v>15250</v>
      </c>
      <c r="C3066" s="7">
        <v>88.6</v>
      </c>
      <c r="D3066" s="7">
        <v>83.2</v>
      </c>
      <c r="E3066" s="16"/>
      <c r="F3066" s="7">
        <f t="shared" si="253"/>
        <v>15333.2</v>
      </c>
      <c r="G3066" s="17"/>
      <c r="H3066" s="7">
        <v>73</v>
      </c>
      <c r="I3066" s="7">
        <v>86.35</v>
      </c>
      <c r="J3066" s="7">
        <v>52.5</v>
      </c>
      <c r="K3066" s="7"/>
      <c r="L3066" s="7"/>
      <c r="N3066" s="7">
        <v>66</v>
      </c>
      <c r="O3066" s="7"/>
      <c r="P3066" s="17"/>
      <c r="Q3066" s="159">
        <v>44336</v>
      </c>
      <c r="R3066" s="161">
        <v>14924.1</v>
      </c>
      <c r="S3066" s="161">
        <v>15024.1</v>
      </c>
      <c r="T3066" s="159">
        <v>44336</v>
      </c>
      <c r="V3066" s="17"/>
      <c r="W3066" s="66">
        <v>0.54097222222222219</v>
      </c>
      <c r="X3066" s="7">
        <v>106.4</v>
      </c>
      <c r="Y3066" s="7">
        <v>133.80000000000001</v>
      </c>
      <c r="Z3066" s="66">
        <v>0.54097222222222219</v>
      </c>
    </row>
    <row r="3067" spans="2:26" x14ac:dyDescent="0.3">
      <c r="B3067" s="97">
        <v>15300</v>
      </c>
      <c r="C3067" s="7">
        <v>62.85</v>
      </c>
      <c r="D3067" s="7">
        <v>59.3</v>
      </c>
      <c r="E3067" s="16"/>
      <c r="F3067" s="7">
        <f t="shared" si="253"/>
        <v>15359.3</v>
      </c>
      <c r="G3067" s="17"/>
      <c r="H3067" s="7">
        <v>50</v>
      </c>
      <c r="I3067" s="7">
        <v>60.1</v>
      </c>
      <c r="J3067" s="7">
        <v>34</v>
      </c>
      <c r="K3067" s="7"/>
      <c r="L3067" s="7"/>
      <c r="N3067" s="7">
        <v>43.7</v>
      </c>
      <c r="O3067" s="7"/>
      <c r="P3067" s="17"/>
      <c r="Q3067" s="159">
        <v>44335</v>
      </c>
      <c r="R3067" s="161">
        <v>15041.15</v>
      </c>
      <c r="S3067" s="161">
        <v>15140.5</v>
      </c>
      <c r="T3067" s="159">
        <v>44334</v>
      </c>
      <c r="V3067" s="17"/>
      <c r="W3067" s="66">
        <v>6.1805555555555558E-2</v>
      </c>
      <c r="X3067" s="7">
        <v>90.95</v>
      </c>
      <c r="Y3067" s="7">
        <v>159.55000000000001</v>
      </c>
      <c r="Z3067" s="66">
        <v>6.1805555555555558E-2</v>
      </c>
    </row>
    <row r="3068" spans="2:26" x14ac:dyDescent="0.3">
      <c r="B3068" s="5">
        <f>B3067+50</f>
        <v>15350</v>
      </c>
      <c r="C3068" s="51">
        <v>42.55</v>
      </c>
      <c r="D3068" s="7">
        <v>39.9</v>
      </c>
      <c r="E3068" s="16"/>
      <c r="F3068" s="98">
        <f t="shared" si="253"/>
        <v>15389.9</v>
      </c>
      <c r="G3068" s="17"/>
      <c r="H3068" s="7">
        <v>32.549999999999997</v>
      </c>
      <c r="I3068" s="7">
        <v>40</v>
      </c>
      <c r="J3068" s="7">
        <v>20.55</v>
      </c>
      <c r="K3068" s="7"/>
      <c r="L3068" s="7"/>
      <c r="N3068" s="7">
        <v>27.2</v>
      </c>
      <c r="O3068" s="7"/>
      <c r="P3068" s="17"/>
      <c r="Q3068" s="159">
        <v>44337</v>
      </c>
      <c r="R3068" s="161">
        <v>15082.3</v>
      </c>
      <c r="S3068" s="161">
        <v>15141.15</v>
      </c>
      <c r="T3068" s="159">
        <v>44335</v>
      </c>
      <c r="V3068" s="17"/>
      <c r="W3068" s="66">
        <v>8.2638888888888887E-2</v>
      </c>
      <c r="X3068" s="7">
        <v>87.6</v>
      </c>
      <c r="Y3068" s="7">
        <v>163.69999999999999</v>
      </c>
      <c r="Z3068" s="66">
        <v>8.2638888888888887E-2</v>
      </c>
    </row>
    <row r="3069" spans="2:26" x14ac:dyDescent="0.3">
      <c r="B3069" s="99">
        <f>B3068+50</f>
        <v>15400</v>
      </c>
      <c r="C3069" s="7">
        <v>27.9</v>
      </c>
      <c r="D3069" s="7">
        <v>26.15</v>
      </c>
      <c r="E3069" s="16"/>
      <c r="F3069" s="7">
        <f t="shared" si="253"/>
        <v>15426.15</v>
      </c>
      <c r="G3069" s="17"/>
      <c r="H3069" s="7">
        <v>20.5</v>
      </c>
      <c r="I3069" s="7">
        <v>25.45</v>
      </c>
      <c r="J3069" s="7">
        <v>12.4</v>
      </c>
      <c r="K3069" s="7"/>
      <c r="L3069" s="7"/>
      <c r="N3069" s="7">
        <v>16.5</v>
      </c>
      <c r="O3069" s="7"/>
      <c r="P3069" s="17"/>
      <c r="Q3069" s="159">
        <v>44334</v>
      </c>
      <c r="R3069" s="161">
        <v>15105.5</v>
      </c>
      <c r="S3069" s="161">
        <v>15215</v>
      </c>
      <c r="T3069" s="159">
        <v>44340</v>
      </c>
      <c r="V3069" s="17"/>
    </row>
    <row r="3070" spans="2:26" x14ac:dyDescent="0.3">
      <c r="B3070" s="5">
        <f>B3069+50</f>
        <v>15450</v>
      </c>
      <c r="C3070" s="7">
        <v>17.45</v>
      </c>
      <c r="D3070" s="7">
        <v>16.5</v>
      </c>
      <c r="E3070" s="16">
        <f>E3071-(F3071-E3071)</f>
        <v>15.775000000000006</v>
      </c>
      <c r="F3070" s="7">
        <f t="shared" si="253"/>
        <v>15466.5</v>
      </c>
      <c r="G3070" s="16"/>
      <c r="H3070" s="7">
        <v>12.35</v>
      </c>
      <c r="I3070" s="7">
        <v>15.6</v>
      </c>
      <c r="J3070" s="7">
        <v>7.3</v>
      </c>
      <c r="K3070" s="7"/>
      <c r="L3070" s="7"/>
      <c r="N3070" s="7">
        <v>9.75</v>
      </c>
      <c r="O3070" s="7"/>
      <c r="P3070" s="17"/>
      <c r="Q3070" s="159">
        <v>44340</v>
      </c>
      <c r="R3070" s="161">
        <v>15170</v>
      </c>
      <c r="S3070" s="161">
        <v>15217.3</v>
      </c>
      <c r="T3070" s="159">
        <v>44337</v>
      </c>
      <c r="V3070" s="17"/>
    </row>
    <row r="3071" spans="2:26" x14ac:dyDescent="0.3">
      <c r="B3071" s="17"/>
      <c r="C3071" s="17"/>
      <c r="D3071" s="16"/>
      <c r="E3071" s="16">
        <f>F3071-(G3071-F3071)</f>
        <v>40.950000000000003</v>
      </c>
      <c r="F3071" s="16">
        <f>AVERAGE(C3067,C3078)</f>
        <v>66.125</v>
      </c>
      <c r="G3071" s="16">
        <f>AVERAGE(C3066,C3077)</f>
        <v>91.3</v>
      </c>
      <c r="H3071" s="7"/>
      <c r="I3071" s="7"/>
      <c r="J3071" s="7"/>
      <c r="K3071" s="7"/>
      <c r="L3071" s="7"/>
      <c r="P3071" s="17"/>
      <c r="V3071" s="16"/>
    </row>
    <row r="3072" spans="2:26" x14ac:dyDescent="0.3">
      <c r="B3072" s="17"/>
      <c r="C3072" s="17"/>
      <c r="D3072" s="16"/>
      <c r="E3072" s="16"/>
      <c r="F3072" s="16"/>
      <c r="G3072" s="16"/>
      <c r="P3072" s="17"/>
      <c r="Q3072" s="17"/>
      <c r="R3072" s="17"/>
      <c r="S3072" s="17"/>
      <c r="T3072" s="16"/>
      <c r="V3072" s="16"/>
      <c r="W3072" s="90" t="s">
        <v>68</v>
      </c>
      <c r="X3072" s="119" t="s">
        <v>69</v>
      </c>
      <c r="Y3072" s="92" t="s">
        <v>70</v>
      </c>
      <c r="Z3072" s="90" t="s">
        <v>68</v>
      </c>
    </row>
    <row r="3073" spans="2:26" x14ac:dyDescent="0.3">
      <c r="B3073" s="17"/>
      <c r="C3073" s="17"/>
      <c r="D3073" s="16"/>
      <c r="E3073" s="16"/>
      <c r="F3073" s="16"/>
      <c r="G3073" s="16"/>
      <c r="H3073" s="101"/>
      <c r="I3073" s="101"/>
      <c r="J3073" s="101"/>
      <c r="K3073" s="101"/>
      <c r="L3073" s="101"/>
      <c r="N3073" s="101"/>
      <c r="O3073" s="101"/>
      <c r="P3073" s="17"/>
      <c r="Q3073" s="17"/>
      <c r="R3073" s="17"/>
      <c r="S3073" s="17"/>
      <c r="T3073" s="16"/>
      <c r="V3073" s="16"/>
      <c r="W3073" s="66">
        <v>0.41597222222222219</v>
      </c>
      <c r="X3073" s="7">
        <v>42.55</v>
      </c>
      <c r="Y3073" s="40">
        <v>50.8</v>
      </c>
      <c r="Z3073" s="66">
        <v>0.41597222222222219</v>
      </c>
    </row>
    <row r="3074" spans="2:26" x14ac:dyDescent="0.3">
      <c r="B3074" s="16"/>
      <c r="C3074" s="95">
        <v>44343</v>
      </c>
      <c r="D3074" s="17"/>
      <c r="F3074" s="16"/>
      <c r="H3074" s="66">
        <v>0.4694444444444445</v>
      </c>
      <c r="I3074" s="66">
        <v>0.49027777777777781</v>
      </c>
      <c r="J3074" s="66">
        <v>9.1666666666666674E-2</v>
      </c>
      <c r="K3074" s="66"/>
      <c r="L3074" s="66"/>
      <c r="N3074" s="66">
        <v>6.0416666666666667E-2</v>
      </c>
      <c r="O3074" s="66"/>
      <c r="P3074" s="17"/>
      <c r="Q3074" s="155" t="s">
        <v>72</v>
      </c>
      <c r="R3074" s="155"/>
      <c r="S3074" s="155"/>
      <c r="T3074" s="155"/>
      <c r="V3074" s="17"/>
      <c r="W3074" s="66">
        <v>0.4368055555555555</v>
      </c>
      <c r="X3074" s="7">
        <v>44.4</v>
      </c>
      <c r="Y3074" s="7">
        <v>46.4</v>
      </c>
      <c r="Z3074" s="66">
        <v>0.4368055555555555</v>
      </c>
    </row>
    <row r="3075" spans="2:26" x14ac:dyDescent="0.3">
      <c r="B3075" s="90" t="s">
        <v>68</v>
      </c>
      <c r="C3075" s="66">
        <v>0.41666666666666669</v>
      </c>
      <c r="D3075" s="66">
        <v>0.39305555555555555</v>
      </c>
      <c r="E3075" s="16">
        <f>F3075-(G3075-F3075)</f>
        <v>40.950000000000003</v>
      </c>
      <c r="F3075" s="16">
        <f>AVERAGE(C3078,C3067)</f>
        <v>66.125</v>
      </c>
      <c r="G3075" s="16">
        <f>AVERAGE(C3077,C3066)</f>
        <v>91.3</v>
      </c>
      <c r="H3075" s="23">
        <v>66.099999999999994</v>
      </c>
      <c r="I3075" s="23">
        <v>47.65</v>
      </c>
      <c r="J3075" s="23">
        <v>91.3</v>
      </c>
      <c r="K3075" s="23"/>
      <c r="L3075" s="7"/>
      <c r="N3075" s="7">
        <v>15223</v>
      </c>
      <c r="O3075" s="7"/>
      <c r="P3075" s="17"/>
      <c r="Q3075" s="34"/>
      <c r="R3075" s="34" t="s">
        <v>111</v>
      </c>
      <c r="S3075" s="34" t="s">
        <v>2</v>
      </c>
      <c r="T3075" s="34" t="s">
        <v>1</v>
      </c>
      <c r="V3075" s="17"/>
      <c r="W3075" s="66">
        <v>0.45763888888888887</v>
      </c>
      <c r="X3075" s="7">
        <v>39.700000000000003</v>
      </c>
      <c r="Y3075" s="7">
        <v>53.95</v>
      </c>
      <c r="Z3075" s="66">
        <v>0.45763888888888887</v>
      </c>
    </row>
    <row r="3076" spans="2:26" x14ac:dyDescent="0.3">
      <c r="B3076" s="5">
        <f>B3077+50</f>
        <v>15350</v>
      </c>
      <c r="C3076" s="7">
        <v>124.85</v>
      </c>
      <c r="D3076" s="7">
        <v>113.6</v>
      </c>
      <c r="E3076" s="16">
        <f>E3075-(F3075-E3075)</f>
        <v>15.775000000000006</v>
      </c>
      <c r="F3076" s="7">
        <f t="shared" ref="F3076:F3081" si="254">B3076-D3076</f>
        <v>15236.4</v>
      </c>
      <c r="G3076" s="16"/>
      <c r="H3076" s="7">
        <v>147.19999999999999</v>
      </c>
      <c r="I3076" s="7">
        <v>120.2</v>
      </c>
      <c r="J3076" s="7">
        <v>183.85</v>
      </c>
      <c r="K3076" s="7"/>
      <c r="L3076" s="7"/>
      <c r="N3076" s="7">
        <v>154.35</v>
      </c>
      <c r="O3076" s="7"/>
      <c r="P3076" s="17"/>
      <c r="Q3076" s="7">
        <f>(R3076)*(T3076-S3076)</f>
        <v>-1308.7499999999998</v>
      </c>
      <c r="R3076" s="109">
        <v>75</v>
      </c>
      <c r="S3076" s="7">
        <v>65.099999999999994</v>
      </c>
      <c r="T3076" s="18">
        <v>47.65</v>
      </c>
      <c r="V3076" s="16"/>
      <c r="W3076" s="66">
        <v>0.47847222222222219</v>
      </c>
      <c r="X3076" s="7">
        <v>37.299999999999997</v>
      </c>
      <c r="Y3076" s="7">
        <v>54.45</v>
      </c>
      <c r="Z3076" s="66">
        <v>0.47847222222222219</v>
      </c>
    </row>
    <row r="3077" spans="2:26" x14ac:dyDescent="0.3">
      <c r="B3077" s="5">
        <f>B3078+50</f>
        <v>15300</v>
      </c>
      <c r="C3077" s="7">
        <v>94</v>
      </c>
      <c r="D3077" s="7">
        <v>86</v>
      </c>
      <c r="E3077" s="16"/>
      <c r="F3077" s="7">
        <f t="shared" si="254"/>
        <v>15214</v>
      </c>
      <c r="G3077" s="17"/>
      <c r="H3077" s="7">
        <v>113.85</v>
      </c>
      <c r="I3077" s="7">
        <v>90.35</v>
      </c>
      <c r="J3077" s="7">
        <v>147.80000000000001</v>
      </c>
      <c r="K3077" s="7"/>
      <c r="L3077" s="7"/>
      <c r="N3077" s="7">
        <v>120.2</v>
      </c>
      <c r="O3077" s="7"/>
      <c r="P3077" s="17"/>
      <c r="Q3077" s="7">
        <f t="shared" ref="Q3077:Q3079" si="255">(R3077)*(T3077-S3077)</f>
        <v>1965.0000000000002</v>
      </c>
      <c r="R3077" s="109">
        <v>75</v>
      </c>
      <c r="S3077" s="7">
        <v>65.099999999999994</v>
      </c>
      <c r="T3077" s="18">
        <v>91.3</v>
      </c>
      <c r="V3077" s="16"/>
      <c r="W3077" s="66">
        <v>0.4993055555555555</v>
      </c>
      <c r="X3077" s="7">
        <v>36</v>
      </c>
      <c r="Y3077" s="7">
        <v>53.25</v>
      </c>
      <c r="Z3077" s="66">
        <v>0.4993055555555555</v>
      </c>
    </row>
    <row r="3078" spans="2:26" x14ac:dyDescent="0.3">
      <c r="B3078" s="97">
        <v>15250</v>
      </c>
      <c r="C3078" s="7">
        <v>69.400000000000006</v>
      </c>
      <c r="D3078" s="7">
        <v>63.1</v>
      </c>
      <c r="E3078" s="16"/>
      <c r="F3078" s="7">
        <f t="shared" si="254"/>
        <v>15186.9</v>
      </c>
      <c r="G3078" s="17"/>
      <c r="H3078" s="7">
        <v>87</v>
      </c>
      <c r="I3078" s="7">
        <v>66.150000000000006</v>
      </c>
      <c r="J3078" s="7">
        <v>115.75</v>
      </c>
      <c r="K3078" s="7"/>
      <c r="L3078" s="7"/>
      <c r="N3078" s="7">
        <v>92.85</v>
      </c>
      <c r="O3078" s="7"/>
      <c r="P3078" s="17"/>
      <c r="Q3078" s="7">
        <f t="shared" si="255"/>
        <v>0</v>
      </c>
      <c r="R3078" s="109"/>
      <c r="S3078" s="18"/>
      <c r="T3078" s="18"/>
      <c r="V3078" s="17"/>
      <c r="W3078" s="66">
        <v>0.52013888888888882</v>
      </c>
      <c r="X3078" s="7">
        <v>36.65</v>
      </c>
      <c r="Y3078" s="7">
        <v>51.6</v>
      </c>
      <c r="Z3078" s="66">
        <v>0.52013888888888882</v>
      </c>
    </row>
    <row r="3079" spans="2:26" x14ac:dyDescent="0.3">
      <c r="B3079" s="14">
        <f>B3078-50</f>
        <v>15200</v>
      </c>
      <c r="C3079" s="51">
        <v>50.8</v>
      </c>
      <c r="D3079" s="7">
        <v>45</v>
      </c>
      <c r="E3079" s="16"/>
      <c r="F3079" s="98">
        <f t="shared" si="254"/>
        <v>15155</v>
      </c>
      <c r="G3079" s="16">
        <f>SUM(H3079,H3068)-H3067</f>
        <v>47.649999999999991</v>
      </c>
      <c r="H3079" s="7">
        <v>65.099999999999994</v>
      </c>
      <c r="I3079" s="7">
        <v>48</v>
      </c>
      <c r="J3079" s="7">
        <v>88.85</v>
      </c>
      <c r="K3079" s="7"/>
      <c r="L3079" s="7"/>
      <c r="N3079" s="7">
        <v>69.45</v>
      </c>
      <c r="O3079" s="7"/>
      <c r="P3079" s="17"/>
      <c r="Q3079" s="7">
        <f t="shared" si="255"/>
        <v>0</v>
      </c>
      <c r="R3079" s="109"/>
      <c r="S3079" s="18"/>
      <c r="T3079" s="18"/>
      <c r="V3079" s="17"/>
      <c r="W3079" s="66">
        <v>0.54097222222222219</v>
      </c>
      <c r="X3079" s="7">
        <v>33.75</v>
      </c>
      <c r="Y3079" s="7">
        <v>56.75</v>
      </c>
      <c r="Z3079" s="66">
        <v>0.54097222222222219</v>
      </c>
    </row>
    <row r="3080" spans="2:26" x14ac:dyDescent="0.3">
      <c r="B3080" s="99">
        <f>B3079-50</f>
        <v>15150</v>
      </c>
      <c r="C3080" s="7">
        <v>36.450000000000003</v>
      </c>
      <c r="D3080" s="7">
        <v>32.200000000000003</v>
      </c>
      <c r="E3080" s="16"/>
      <c r="F3080" s="7">
        <f t="shared" si="254"/>
        <v>15117.8</v>
      </c>
      <c r="G3080" s="17"/>
      <c r="H3080" s="7">
        <v>47.85</v>
      </c>
      <c r="I3080" s="7">
        <v>34.15</v>
      </c>
      <c r="J3080" s="7">
        <v>67.400000000000006</v>
      </c>
      <c r="K3080" s="7"/>
      <c r="L3080" s="7"/>
      <c r="N3080" s="7">
        <v>51.45</v>
      </c>
      <c r="O3080" s="7"/>
      <c r="P3080" s="17"/>
      <c r="Q3080" s="7">
        <f>SUM(Q3076:Q3079)</f>
        <v>656.25000000000045</v>
      </c>
      <c r="R3080" s="7">
        <f>(T3076-S3076)+(T3077-S3077)</f>
        <v>8.7500000000000071</v>
      </c>
      <c r="S3080" s="109"/>
      <c r="T3080" s="114"/>
      <c r="V3080" s="17"/>
      <c r="W3080" s="66">
        <v>6.1805555555555558E-2</v>
      </c>
      <c r="X3080" s="7">
        <v>26.6</v>
      </c>
      <c r="Y3080" s="7">
        <v>73.599999999999994</v>
      </c>
      <c r="Z3080" s="66">
        <v>6.1805555555555558E-2</v>
      </c>
    </row>
    <row r="3081" spans="2:26" x14ac:dyDescent="0.3">
      <c r="B3081" s="5">
        <f>B3080-50</f>
        <v>15100</v>
      </c>
      <c r="C3081" s="7">
        <v>26.3</v>
      </c>
      <c r="D3081" s="7">
        <v>23.05</v>
      </c>
      <c r="E3081" s="16"/>
      <c r="F3081" s="7">
        <f t="shared" si="254"/>
        <v>15076.95</v>
      </c>
      <c r="G3081" s="17"/>
      <c r="H3081" s="7">
        <v>35.049999999999997</v>
      </c>
      <c r="I3081" s="7">
        <v>24.2</v>
      </c>
      <c r="J3081" s="7">
        <v>50.3</v>
      </c>
      <c r="K3081" s="7"/>
      <c r="L3081" s="7"/>
      <c r="N3081" s="7">
        <v>37.5</v>
      </c>
      <c r="O3081" s="7"/>
      <c r="W3081" s="66">
        <v>8.2638888888888887E-2</v>
      </c>
      <c r="X3081" s="7">
        <v>25.15</v>
      </c>
      <c r="Y3081" s="7">
        <v>73.5</v>
      </c>
      <c r="Z3081" s="66">
        <v>8.2638888888888887E-2</v>
      </c>
    </row>
    <row r="3082" spans="2:26" x14ac:dyDescent="0.3">
      <c r="H3082" s="7"/>
      <c r="I3082" s="7"/>
      <c r="J3082" s="7"/>
      <c r="K3082" s="7"/>
      <c r="L3082" s="7"/>
      <c r="P3082" s="98">
        <f>Q3080</f>
        <v>656.25000000000045</v>
      </c>
      <c r="Q3082" s="92" t="s">
        <v>72</v>
      </c>
      <c r="R3082" s="17"/>
      <c r="T3082" s="92" t="s">
        <v>73</v>
      </c>
      <c r="U3082" s="7">
        <f>((X3074+Y3074)-(X3082+Y3082))</f>
        <v>5.2000000000000028</v>
      </c>
      <c r="V3082" s="98">
        <f>U3082*150</f>
        <v>780.00000000000045</v>
      </c>
      <c r="W3082" s="66">
        <v>7.7083333333333337E-2</v>
      </c>
      <c r="X3082" s="7">
        <v>20.5</v>
      </c>
      <c r="Y3082" s="23">
        <v>65.099999999999994</v>
      </c>
      <c r="Z3082" s="66">
        <v>0.13541666666666666</v>
      </c>
    </row>
    <row r="3083" spans="2:26" x14ac:dyDescent="0.3">
      <c r="D3083" s="40"/>
      <c r="G3083" s="101"/>
      <c r="H3083" s="40"/>
    </row>
    <row r="3084" spans="2:26" x14ac:dyDescent="0.3">
      <c r="H3084" s="40">
        <f>H3079+H3068</f>
        <v>97.649999999999991</v>
      </c>
      <c r="I3084" s="40"/>
      <c r="J3084" s="40"/>
      <c r="N3084" s="40">
        <f>N3079+N3068</f>
        <v>96.65</v>
      </c>
    </row>
    <row r="3085" spans="2:26" x14ac:dyDescent="0.3">
      <c r="H3085" s="40">
        <f>H3084-H3067</f>
        <v>47.649999999999991</v>
      </c>
      <c r="I3085" s="40"/>
      <c r="J3085" s="40"/>
      <c r="N3085" s="40">
        <f>N3084-N3067</f>
        <v>52.95</v>
      </c>
    </row>
    <row r="3092" spans="2:26" x14ac:dyDescent="0.3">
      <c r="B3092" s="40"/>
      <c r="C3092" s="50">
        <f>AVERAGE(B3093,D3092)</f>
        <v>15265.1</v>
      </c>
      <c r="D3092" s="51">
        <f>B3093+E3093</f>
        <v>15290.1</v>
      </c>
      <c r="E3092" s="50">
        <f>AVERAGE(D3092,F3092)</f>
        <v>15315.1</v>
      </c>
      <c r="F3092" s="50">
        <f>D3092+E3093</f>
        <v>15340.1</v>
      </c>
      <c r="G3092" s="17"/>
      <c r="H3092" s="88" t="str">
        <f>IF((C3101-D3101)&gt;(C3112-D3112),"LONG",IF(C3112&gt;D3110,"LONG","SHORT"))</f>
        <v>LONG</v>
      </c>
      <c r="I3092" s="104">
        <v>15197</v>
      </c>
      <c r="J3092" s="120" t="s">
        <v>122</v>
      </c>
      <c r="K3092" s="106">
        <v>15255</v>
      </c>
      <c r="L3092" s="17"/>
      <c r="N3092" s="17"/>
      <c r="O3092" s="17"/>
      <c r="U3092" s="17"/>
      <c r="V3092" s="17"/>
    </row>
    <row r="3093" spans="2:26" x14ac:dyDescent="0.3">
      <c r="B3093" s="50">
        <v>15240.1</v>
      </c>
      <c r="C3093" s="40"/>
      <c r="D3093" s="58"/>
      <c r="E3093" s="59">
        <f>ROUND((((B3093*F3093%)/4)/10),0)*10</f>
        <v>50</v>
      </c>
      <c r="F3093" s="51">
        <f>(100/B3093)*(F3102-F3113)</f>
        <v>1.3408704667292233</v>
      </c>
      <c r="G3093" s="17"/>
      <c r="H3093" s="93">
        <v>0.39166666666666666</v>
      </c>
      <c r="I3093" s="93">
        <v>0.39861111111111108</v>
      </c>
      <c r="J3093" s="93">
        <v>0.4055555555555555</v>
      </c>
      <c r="K3093" s="93">
        <v>0.41250000000000003</v>
      </c>
      <c r="M3093" s="50">
        <v>13900</v>
      </c>
      <c r="N3093" s="17"/>
      <c r="O3093" s="17"/>
      <c r="U3093" s="17"/>
      <c r="V3093" s="17"/>
      <c r="W3093" s="90" t="s">
        <v>68</v>
      </c>
      <c r="X3093" s="119" t="s">
        <v>69</v>
      </c>
      <c r="Y3093" s="92" t="s">
        <v>70</v>
      </c>
      <c r="Z3093" s="90" t="s">
        <v>68</v>
      </c>
    </row>
    <row r="3094" spans="2:26" x14ac:dyDescent="0.3">
      <c r="B3094" s="40"/>
      <c r="C3094" s="50">
        <f>AVERAGE(B3093,D3094)</f>
        <v>15215.1</v>
      </c>
      <c r="D3094" s="51">
        <f>B3093-E3093</f>
        <v>15190.1</v>
      </c>
      <c r="E3094" s="50">
        <f>AVERAGE(D3094,F3094)</f>
        <v>15165.1</v>
      </c>
      <c r="F3094" s="50">
        <f>D3094-E3093</f>
        <v>15140.1</v>
      </c>
      <c r="G3094" s="17"/>
      <c r="H3094" s="51">
        <v>15213.3</v>
      </c>
      <c r="I3094" s="51">
        <v>15210.6</v>
      </c>
      <c r="J3094" s="51">
        <v>15213</v>
      </c>
      <c r="K3094" s="51">
        <v>15228.6</v>
      </c>
      <c r="L3094" s="17"/>
      <c r="N3094" s="17"/>
      <c r="O3094" s="17"/>
      <c r="Q3094" s="17"/>
      <c r="R3094" s="17"/>
      <c r="S3094" s="17"/>
      <c r="T3094" s="16"/>
      <c r="U3094" s="17"/>
      <c r="V3094" s="17"/>
      <c r="W3094" s="66">
        <v>0.41597222222222219</v>
      </c>
      <c r="X3094" s="7">
        <v>119.2</v>
      </c>
      <c r="Y3094" s="7">
        <v>94.1</v>
      </c>
      <c r="Z3094" s="66">
        <v>0.41597222222222219</v>
      </c>
    </row>
    <row r="3095" spans="2:26" x14ac:dyDescent="0.3">
      <c r="B3095" s="17"/>
      <c r="C3095" s="17"/>
      <c r="D3095" s="17"/>
      <c r="E3095" s="17"/>
      <c r="F3095" s="16"/>
      <c r="G3095" s="16"/>
      <c r="H3095" s="17"/>
      <c r="I3095" s="17"/>
      <c r="J3095" s="17"/>
      <c r="K3095" s="16"/>
      <c r="L3095" s="17"/>
      <c r="M3095" s="17"/>
      <c r="N3095" s="17"/>
      <c r="O3095" s="17"/>
      <c r="Q3095" s="17"/>
      <c r="R3095" s="17"/>
      <c r="S3095" s="17"/>
      <c r="T3095" s="17"/>
      <c r="U3095" s="17"/>
      <c r="V3095" s="17"/>
      <c r="W3095" s="66">
        <v>0.4368055555555555</v>
      </c>
      <c r="X3095" s="7">
        <v>149.9</v>
      </c>
      <c r="Y3095" s="7">
        <v>75.900000000000006</v>
      </c>
      <c r="Z3095" s="66">
        <v>0.4368055555555555</v>
      </c>
    </row>
    <row r="3096" spans="2:26" x14ac:dyDescent="0.3">
      <c r="B3096" s="16"/>
      <c r="C3096" s="17"/>
      <c r="D3096" s="17"/>
      <c r="E3096" s="17"/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Q3096" s="17"/>
      <c r="R3096" s="17"/>
      <c r="S3096" s="17"/>
      <c r="T3096" s="17"/>
      <c r="U3096" s="17"/>
      <c r="V3096" s="17"/>
      <c r="W3096" s="66">
        <v>0.45763888888888887</v>
      </c>
      <c r="X3096" s="7">
        <v>164.5</v>
      </c>
      <c r="Y3096" s="7">
        <v>64.150000000000006</v>
      </c>
      <c r="Z3096" s="66">
        <v>0.45763888888888887</v>
      </c>
    </row>
    <row r="3097" spans="2:26" x14ac:dyDescent="0.3">
      <c r="B3097" s="16"/>
      <c r="C3097" s="95">
        <v>44342</v>
      </c>
      <c r="D3097" s="17"/>
      <c r="E3097" s="17"/>
      <c r="F3097" s="7">
        <f>AVERAGE(F3099,F3110)</f>
        <v>15226.15</v>
      </c>
      <c r="G3097" s="96"/>
      <c r="H3097" s="66">
        <v>0.43402777777777773</v>
      </c>
      <c r="I3097" s="66">
        <v>0.50347222222222221</v>
      </c>
      <c r="J3097" s="66">
        <v>0.1111111111111111</v>
      </c>
      <c r="K3097" s="66">
        <v>0.11527777777777777</v>
      </c>
      <c r="L3097" s="66">
        <v>0.13541666666666666</v>
      </c>
      <c r="N3097" s="66">
        <v>0.45277777777777778</v>
      </c>
      <c r="O3097" s="66"/>
      <c r="Q3097" s="17"/>
      <c r="R3097" s="17"/>
      <c r="S3097" s="17"/>
      <c r="T3097" s="17"/>
      <c r="U3097" s="17"/>
      <c r="V3097" s="17"/>
      <c r="W3097" s="66">
        <v>0.47847222222222219</v>
      </c>
      <c r="X3097" s="7">
        <v>157.4</v>
      </c>
      <c r="Y3097" s="7">
        <v>68.900000000000006</v>
      </c>
      <c r="Z3097" s="66">
        <v>0.47847222222222219</v>
      </c>
    </row>
    <row r="3098" spans="2:26" x14ac:dyDescent="0.3">
      <c r="B3098" s="90" t="s">
        <v>68</v>
      </c>
      <c r="C3098" s="66">
        <v>0.41666666666666669</v>
      </c>
      <c r="D3098" s="66">
        <v>0.40347222222222223</v>
      </c>
      <c r="E3098" s="17"/>
      <c r="F3098" s="17"/>
      <c r="G3098" s="17"/>
      <c r="H3098" s="23">
        <v>50.3</v>
      </c>
      <c r="I3098" s="7">
        <v>15298.25</v>
      </c>
      <c r="J3098" s="7">
        <v>15317.95</v>
      </c>
      <c r="K3098" s="23">
        <v>58.6</v>
      </c>
      <c r="L3098" s="7">
        <v>15305.5</v>
      </c>
      <c r="N3098" s="7">
        <v>15290</v>
      </c>
      <c r="O3098" s="7"/>
      <c r="U3098" s="17"/>
      <c r="V3098" s="17"/>
      <c r="W3098" s="66">
        <v>0.4993055555555555</v>
      </c>
      <c r="X3098" s="7">
        <v>157.94999999999999</v>
      </c>
      <c r="Y3098" s="7">
        <v>66.2</v>
      </c>
      <c r="Z3098" s="66">
        <v>0.4993055555555555</v>
      </c>
    </row>
    <row r="3099" spans="2:26" x14ac:dyDescent="0.3">
      <c r="B3099" s="5">
        <f>B3100-50</f>
        <v>15150</v>
      </c>
      <c r="C3099" s="7">
        <v>119.2</v>
      </c>
      <c r="D3099" s="7">
        <v>96.4</v>
      </c>
      <c r="E3099" s="16"/>
      <c r="F3099" s="7">
        <f t="shared" ref="F3099:F3104" si="256">B3099+D3099</f>
        <v>15246.4</v>
      </c>
      <c r="G3099" s="17"/>
      <c r="H3099" s="7">
        <v>150.9</v>
      </c>
      <c r="I3099" s="7">
        <v>166.85</v>
      </c>
      <c r="J3099" s="7">
        <v>180.25</v>
      </c>
      <c r="K3099" s="7">
        <v>172.7</v>
      </c>
      <c r="L3099" s="7">
        <v>169.3</v>
      </c>
      <c r="N3099" s="7">
        <v>161</v>
      </c>
      <c r="O3099" s="7"/>
      <c r="Q3099" s="150" t="s">
        <v>129</v>
      </c>
      <c r="R3099" s="151"/>
      <c r="S3099" s="151"/>
      <c r="T3099" s="151"/>
      <c r="V3099" s="17"/>
      <c r="W3099" s="66">
        <v>0.52013888888888882</v>
      </c>
      <c r="X3099" s="7">
        <v>179.55</v>
      </c>
      <c r="Y3099" s="7">
        <v>53.55</v>
      </c>
      <c r="Z3099" s="66">
        <v>0.52013888888888882</v>
      </c>
    </row>
    <row r="3100" spans="2:26" x14ac:dyDescent="0.3">
      <c r="B3100" s="5">
        <f>B3101-50</f>
        <v>15200</v>
      </c>
      <c r="C3100" s="7">
        <v>84.75</v>
      </c>
      <c r="D3100" s="7">
        <v>66</v>
      </c>
      <c r="E3100" s="16"/>
      <c r="F3100" s="7">
        <f t="shared" si="256"/>
        <v>15266</v>
      </c>
      <c r="G3100" s="17"/>
      <c r="H3100" s="7">
        <v>113.2</v>
      </c>
      <c r="I3100" s="7">
        <v>126.45</v>
      </c>
      <c r="J3100" s="7">
        <v>137.25</v>
      </c>
      <c r="K3100" s="7">
        <v>129.80000000000001</v>
      </c>
      <c r="L3100" s="7">
        <v>126.4</v>
      </c>
      <c r="N3100" s="7">
        <v>121.05</v>
      </c>
      <c r="O3100" s="7"/>
      <c r="Q3100" s="159">
        <v>44336</v>
      </c>
      <c r="R3100" s="161">
        <v>14924.1</v>
      </c>
      <c r="S3100" s="161">
        <v>15024.1</v>
      </c>
      <c r="T3100" s="159">
        <v>44336</v>
      </c>
      <c r="V3100" s="17"/>
      <c r="W3100" s="66">
        <v>0.54097222222222219</v>
      </c>
      <c r="X3100" s="7">
        <v>165</v>
      </c>
      <c r="Y3100" s="7">
        <v>60</v>
      </c>
      <c r="Z3100" s="66">
        <v>0.54097222222222219</v>
      </c>
    </row>
    <row r="3101" spans="2:26" x14ac:dyDescent="0.3">
      <c r="B3101" s="97">
        <v>15250</v>
      </c>
      <c r="C3101" s="7">
        <v>55.75</v>
      </c>
      <c r="D3101" s="7">
        <v>41.9</v>
      </c>
      <c r="E3101" s="16"/>
      <c r="F3101" s="7">
        <f t="shared" si="256"/>
        <v>15291.9</v>
      </c>
      <c r="G3101" s="17"/>
      <c r="H3101" s="7">
        <v>79.45</v>
      </c>
      <c r="I3101" s="7">
        <v>89.6</v>
      </c>
      <c r="J3101" s="7">
        <v>97.3</v>
      </c>
      <c r="K3101" s="7">
        <v>91</v>
      </c>
      <c r="L3101" s="7">
        <v>87.55</v>
      </c>
      <c r="N3101" s="7">
        <v>85.8</v>
      </c>
      <c r="O3101" s="7"/>
      <c r="Q3101" s="159">
        <v>44335</v>
      </c>
      <c r="R3101" s="161">
        <v>15041.15</v>
      </c>
      <c r="S3101" s="161">
        <v>15141.15</v>
      </c>
      <c r="T3101" s="159">
        <v>44335</v>
      </c>
      <c r="V3101" s="17"/>
      <c r="W3101" s="66">
        <v>6.1805555555555558E-2</v>
      </c>
      <c r="X3101" s="7">
        <v>172.25</v>
      </c>
      <c r="Y3101" s="7">
        <v>55.45</v>
      </c>
      <c r="Z3101" s="66">
        <v>6.1805555555555558E-2</v>
      </c>
    </row>
    <row r="3102" spans="2:26" x14ac:dyDescent="0.3">
      <c r="B3102" s="5">
        <f>B3101+50</f>
        <v>15300</v>
      </c>
      <c r="C3102" s="51">
        <v>33.9</v>
      </c>
      <c r="D3102" s="7">
        <v>24.25</v>
      </c>
      <c r="E3102" s="16"/>
      <c r="F3102" s="98">
        <f t="shared" si="256"/>
        <v>15324.25</v>
      </c>
      <c r="G3102" s="163">
        <f>SUM(H3102,H3113)-H3112</f>
        <v>40.1</v>
      </c>
      <c r="H3102" s="7">
        <v>52.3</v>
      </c>
      <c r="I3102" s="7">
        <v>59.8</v>
      </c>
      <c r="J3102" s="7">
        <v>65</v>
      </c>
      <c r="K3102" s="7">
        <v>59.8</v>
      </c>
      <c r="L3102" s="7">
        <v>56</v>
      </c>
      <c r="N3102" s="7">
        <v>57</v>
      </c>
      <c r="O3102" s="7"/>
      <c r="Q3102" s="159">
        <v>44337</v>
      </c>
      <c r="R3102" s="161">
        <v>15082.3</v>
      </c>
      <c r="S3102" s="161">
        <v>15215</v>
      </c>
      <c r="T3102" s="159">
        <v>44340</v>
      </c>
      <c r="V3102" s="17"/>
      <c r="W3102" s="66">
        <v>8.2638888888888887E-2</v>
      </c>
      <c r="X3102" s="7">
        <v>163</v>
      </c>
      <c r="Y3102" s="7">
        <v>57.6</v>
      </c>
      <c r="Z3102" s="66">
        <v>8.2638888888888887E-2</v>
      </c>
    </row>
    <row r="3103" spans="2:26" x14ac:dyDescent="0.3">
      <c r="B3103" s="99">
        <f>B3102+50</f>
        <v>15350</v>
      </c>
      <c r="C3103" s="7">
        <v>19</v>
      </c>
      <c r="D3103" s="7">
        <v>13.15</v>
      </c>
      <c r="E3103" s="16"/>
      <c r="F3103" s="7">
        <f t="shared" si="256"/>
        <v>15363.15</v>
      </c>
      <c r="G3103" s="17"/>
      <c r="H3103" s="7">
        <v>31.4</v>
      </c>
      <c r="I3103" s="7">
        <v>36.35</v>
      </c>
      <c r="J3103" s="7">
        <v>38.65</v>
      </c>
      <c r="K3103" s="7">
        <v>35.5</v>
      </c>
      <c r="L3103" s="7">
        <v>32</v>
      </c>
      <c r="N3103" s="7">
        <v>34.65</v>
      </c>
      <c r="O3103" s="7"/>
      <c r="P3103" s="17"/>
      <c r="Q3103" s="159">
        <v>44340</v>
      </c>
      <c r="R3103" s="161">
        <v>15170</v>
      </c>
      <c r="S3103" s="161">
        <v>15217.3</v>
      </c>
      <c r="T3103" s="159">
        <v>44337</v>
      </c>
      <c r="V3103" s="17"/>
    </row>
    <row r="3104" spans="2:26" x14ac:dyDescent="0.3">
      <c r="B3104" s="5">
        <f>B3103+50</f>
        <v>15400</v>
      </c>
      <c r="C3104" s="7">
        <v>10.45</v>
      </c>
      <c r="D3104" s="7">
        <v>7.2</v>
      </c>
      <c r="E3104" s="16">
        <f>E3105-(F3105-E3105)</f>
        <v>0.22500000000000853</v>
      </c>
      <c r="F3104" s="7">
        <f t="shared" si="256"/>
        <v>15407.2</v>
      </c>
      <c r="G3104" s="16"/>
      <c r="H3104" s="7">
        <v>17.75</v>
      </c>
      <c r="I3104" s="7">
        <v>20.6</v>
      </c>
      <c r="J3104" s="7">
        <v>20.85</v>
      </c>
      <c r="K3104" s="7">
        <v>18.649999999999999</v>
      </c>
      <c r="L3104" s="7">
        <v>15.9</v>
      </c>
      <c r="N3104" s="7">
        <v>19.55</v>
      </c>
      <c r="O3104" s="7"/>
      <c r="P3104" s="17"/>
      <c r="Q3104" s="159">
        <v>44341</v>
      </c>
      <c r="R3104" s="161">
        <v>15186</v>
      </c>
      <c r="S3104" s="161">
        <v>15276</v>
      </c>
      <c r="T3104" s="159">
        <v>44341</v>
      </c>
      <c r="V3104" s="17"/>
    </row>
    <row r="3105" spans="2:26" x14ac:dyDescent="0.3">
      <c r="B3105" s="17"/>
      <c r="C3105" s="17"/>
      <c r="D3105" s="16"/>
      <c r="E3105" s="16">
        <f>F3105-(G3105-F3105)</f>
        <v>25.275000000000006</v>
      </c>
      <c r="F3105" s="16">
        <f>AVERAGE(C3101,C3112)</f>
        <v>50.325000000000003</v>
      </c>
      <c r="G3105" s="16">
        <f>AVERAGE(C3100,C3111)</f>
        <v>75.375</v>
      </c>
      <c r="H3105" s="7"/>
      <c r="I3105" s="7"/>
      <c r="J3105" s="7"/>
      <c r="K3105" s="7"/>
      <c r="L3105" s="7"/>
      <c r="P3105" s="17"/>
      <c r="V3105" s="16"/>
    </row>
    <row r="3106" spans="2:26" x14ac:dyDescent="0.3">
      <c r="B3106" s="17"/>
      <c r="C3106" s="17"/>
      <c r="D3106" s="16"/>
      <c r="E3106" s="16"/>
      <c r="F3106" s="16"/>
      <c r="G3106" s="16"/>
      <c r="P3106" s="17"/>
      <c r="Q3106" s="17"/>
      <c r="R3106" s="17"/>
      <c r="S3106" s="17"/>
      <c r="T3106" s="16"/>
      <c r="V3106" s="16"/>
      <c r="W3106" s="90" t="s">
        <v>68</v>
      </c>
      <c r="X3106" s="119" t="s">
        <v>69</v>
      </c>
      <c r="Y3106" s="92" t="s">
        <v>70</v>
      </c>
      <c r="Z3106" s="90" t="s">
        <v>68</v>
      </c>
    </row>
    <row r="3107" spans="2:26" x14ac:dyDescent="0.3">
      <c r="B3107" s="17"/>
      <c r="C3107" s="17"/>
      <c r="D3107" s="16"/>
      <c r="E3107" s="16"/>
      <c r="F3107" s="16"/>
      <c r="G3107" s="16"/>
      <c r="H3107" s="101"/>
      <c r="I3107" s="101"/>
      <c r="J3107" s="101"/>
      <c r="K3107" s="101"/>
      <c r="L3107" s="101"/>
      <c r="N3107" s="101"/>
      <c r="O3107" s="101"/>
      <c r="P3107" s="17"/>
      <c r="Q3107" s="17"/>
      <c r="R3107" s="17"/>
      <c r="S3107" s="17"/>
      <c r="T3107" s="16"/>
      <c r="V3107" s="16"/>
      <c r="W3107" s="66">
        <v>0.41597222222222219</v>
      </c>
      <c r="X3107" s="7">
        <v>33.9</v>
      </c>
      <c r="Y3107" s="7">
        <v>30.1</v>
      </c>
      <c r="Z3107" s="66">
        <v>0.41597222222222219</v>
      </c>
    </row>
    <row r="3108" spans="2:26" x14ac:dyDescent="0.3">
      <c r="B3108" s="16"/>
      <c r="C3108" s="95">
        <v>44343</v>
      </c>
      <c r="D3108" s="17"/>
      <c r="F3108" s="16"/>
      <c r="H3108" s="66">
        <v>0.43402777777777773</v>
      </c>
      <c r="I3108" s="66">
        <v>0.50347222222222221</v>
      </c>
      <c r="J3108" s="66">
        <v>0.1111111111111111</v>
      </c>
      <c r="K3108" s="66">
        <v>0.11527777777777777</v>
      </c>
      <c r="L3108" s="66">
        <v>0.13541666666666666</v>
      </c>
      <c r="N3108" s="66">
        <v>0.45277777777777778</v>
      </c>
      <c r="O3108" s="66"/>
      <c r="P3108" s="17"/>
      <c r="Q3108" s="155" t="s">
        <v>72</v>
      </c>
      <c r="R3108" s="155"/>
      <c r="S3108" s="155"/>
      <c r="T3108" s="155"/>
      <c r="V3108" s="17"/>
      <c r="W3108" s="66">
        <v>0.4368055555555555</v>
      </c>
      <c r="X3108" s="7">
        <v>51.8</v>
      </c>
      <c r="Y3108" s="7">
        <v>24</v>
      </c>
      <c r="Z3108" s="66">
        <v>0.4368055555555555</v>
      </c>
    </row>
    <row r="3109" spans="2:26" x14ac:dyDescent="0.3">
      <c r="B3109" s="90" t="s">
        <v>68</v>
      </c>
      <c r="C3109" s="66">
        <v>0.41666666666666669</v>
      </c>
      <c r="D3109" s="66">
        <v>0.41597222222222219</v>
      </c>
      <c r="E3109" s="16">
        <f>F3109-(G3109-F3109)</f>
        <v>25.275000000000006</v>
      </c>
      <c r="F3109" s="16">
        <f>AVERAGE(C3112,C3101)</f>
        <v>50.325000000000003</v>
      </c>
      <c r="G3109" s="16">
        <f>AVERAGE(C3111,C3100)</f>
        <v>75.375</v>
      </c>
      <c r="H3109" s="7">
        <v>15274.5</v>
      </c>
      <c r="I3109" s="23">
        <v>16.850000000000001</v>
      </c>
      <c r="J3109" s="23">
        <v>12</v>
      </c>
      <c r="K3109" s="7">
        <v>15308.5</v>
      </c>
      <c r="L3109" s="7">
        <v>15305.5</v>
      </c>
      <c r="N3109" s="23">
        <v>20.399999999999999</v>
      </c>
      <c r="O3109" s="7"/>
      <c r="P3109" s="17"/>
      <c r="Q3109" s="34"/>
      <c r="R3109" s="34" t="s">
        <v>111</v>
      </c>
      <c r="S3109" s="34" t="s">
        <v>2</v>
      </c>
      <c r="T3109" s="34" t="s">
        <v>1</v>
      </c>
      <c r="V3109" s="17"/>
      <c r="W3109" s="66">
        <v>0.45763888888888887</v>
      </c>
      <c r="X3109" s="7">
        <v>59.1</v>
      </c>
      <c r="Y3109" s="7">
        <v>19.850000000000001</v>
      </c>
      <c r="Z3109" s="66">
        <v>0.45763888888888887</v>
      </c>
    </row>
    <row r="3110" spans="2:26" x14ac:dyDescent="0.3">
      <c r="B3110" s="5">
        <f>B3111+50</f>
        <v>15300</v>
      </c>
      <c r="C3110" s="7">
        <v>94.1</v>
      </c>
      <c r="D3110" s="7">
        <v>94.1</v>
      </c>
      <c r="E3110" s="16">
        <f>E3109-(F3109-E3109)</f>
        <v>0.22500000000000853</v>
      </c>
      <c r="F3110" s="7">
        <f t="shared" ref="F3110:F3115" si="257">B3110-D3110</f>
        <v>15205.9</v>
      </c>
      <c r="G3110" s="16"/>
      <c r="H3110" s="7">
        <v>75.7</v>
      </c>
      <c r="I3110" s="7">
        <v>59.5</v>
      </c>
      <c r="J3110" s="7">
        <v>45.9</v>
      </c>
      <c r="K3110" s="7">
        <v>50.5</v>
      </c>
      <c r="L3110" s="7">
        <v>49.45</v>
      </c>
      <c r="N3110" s="7">
        <v>66.150000000000006</v>
      </c>
      <c r="O3110" s="7"/>
      <c r="P3110" s="17"/>
      <c r="Q3110" s="7">
        <f>(R3110)*(T3110-S3110)</f>
        <v>952.50000000000023</v>
      </c>
      <c r="R3110" s="109">
        <v>75</v>
      </c>
      <c r="S3110" s="7">
        <v>52.3</v>
      </c>
      <c r="T3110" s="18">
        <v>65</v>
      </c>
      <c r="V3110" s="16"/>
      <c r="W3110" s="66">
        <v>0.47847222222222219</v>
      </c>
      <c r="X3110" s="7">
        <v>55.95</v>
      </c>
      <c r="Y3110" s="7">
        <v>21</v>
      </c>
      <c r="Z3110" s="66">
        <v>0.47847222222222219</v>
      </c>
    </row>
    <row r="3111" spans="2:26" x14ac:dyDescent="0.3">
      <c r="B3111" s="5">
        <f>B3112+50</f>
        <v>15250</v>
      </c>
      <c r="C3111" s="7">
        <v>66</v>
      </c>
      <c r="D3111" s="7">
        <v>66</v>
      </c>
      <c r="E3111" s="16"/>
      <c r="F3111" s="7">
        <f t="shared" si="257"/>
        <v>15184</v>
      </c>
      <c r="G3111" s="17"/>
      <c r="H3111" s="7">
        <v>52.9</v>
      </c>
      <c r="I3111" s="7">
        <v>39.65</v>
      </c>
      <c r="J3111" s="7">
        <v>28.8</v>
      </c>
      <c r="K3111" s="7">
        <v>31.85</v>
      </c>
      <c r="L3111" s="7">
        <v>31.3</v>
      </c>
      <c r="N3111" s="7">
        <v>45.4</v>
      </c>
      <c r="O3111" s="7"/>
      <c r="P3111" s="17"/>
      <c r="Q3111" s="7">
        <f t="shared" ref="Q3111:Q3113" si="258">(R3111)*(T3111-S3111)</f>
        <v>472.50000000000034</v>
      </c>
      <c r="R3111" s="109">
        <v>75</v>
      </c>
      <c r="S3111" s="7">
        <v>52.3</v>
      </c>
      <c r="T3111" s="18">
        <v>58.6</v>
      </c>
      <c r="V3111" s="16"/>
      <c r="W3111" s="66">
        <v>0.4993055555555555</v>
      </c>
      <c r="X3111" s="7">
        <v>54.5</v>
      </c>
      <c r="Y3111" s="7">
        <v>19.600000000000001</v>
      </c>
      <c r="Z3111" s="66">
        <v>0.4993055555555555</v>
      </c>
    </row>
    <row r="3112" spans="2:26" x14ac:dyDescent="0.3">
      <c r="B3112" s="97">
        <v>15200</v>
      </c>
      <c r="C3112" s="7">
        <v>44.9</v>
      </c>
      <c r="D3112" s="7">
        <v>44.9</v>
      </c>
      <c r="E3112" s="16"/>
      <c r="F3112" s="7">
        <f t="shared" si="257"/>
        <v>15155.1</v>
      </c>
      <c r="G3112" s="17"/>
      <c r="H3112" s="7">
        <v>36.4</v>
      </c>
      <c r="I3112" s="7">
        <v>26.2</v>
      </c>
      <c r="J3112" s="7">
        <v>18.45</v>
      </c>
      <c r="K3112" s="7">
        <v>20.5</v>
      </c>
      <c r="L3112" s="7">
        <v>19.899999999999999</v>
      </c>
      <c r="N3112" s="7">
        <v>30.65</v>
      </c>
      <c r="O3112" s="7"/>
      <c r="P3112" s="17"/>
      <c r="Q3112" s="7">
        <f t="shared" si="258"/>
        <v>0</v>
      </c>
      <c r="R3112" s="109"/>
      <c r="S3112" s="18"/>
      <c r="T3112" s="18"/>
      <c r="V3112" s="17"/>
      <c r="W3112" s="66">
        <v>0.52013888888888882</v>
      </c>
      <c r="X3112" s="7">
        <v>66.900000000000006</v>
      </c>
      <c r="Y3112" s="7">
        <v>16.100000000000001</v>
      </c>
      <c r="Z3112" s="66">
        <v>0.52013888888888882</v>
      </c>
    </row>
    <row r="3113" spans="2:26" x14ac:dyDescent="0.3">
      <c r="B3113" s="14">
        <f>B3112-50</f>
        <v>15150</v>
      </c>
      <c r="C3113" s="51">
        <v>30.1</v>
      </c>
      <c r="D3113" s="7">
        <v>30.1</v>
      </c>
      <c r="E3113" s="16"/>
      <c r="F3113" s="98">
        <f t="shared" si="257"/>
        <v>15119.9</v>
      </c>
      <c r="G3113" s="17"/>
      <c r="H3113" s="7">
        <v>24.2</v>
      </c>
      <c r="I3113" s="7">
        <v>17.2</v>
      </c>
      <c r="J3113" s="7">
        <v>12.05</v>
      </c>
      <c r="K3113" s="7">
        <v>13.7</v>
      </c>
      <c r="L3113" s="7">
        <v>12.85</v>
      </c>
      <c r="N3113" s="7">
        <v>20.5</v>
      </c>
      <c r="O3113" s="7"/>
      <c r="P3113" s="17"/>
      <c r="Q3113" s="7">
        <f t="shared" si="258"/>
        <v>0</v>
      </c>
      <c r="R3113" s="109"/>
      <c r="S3113" s="18"/>
      <c r="T3113" s="18"/>
      <c r="V3113" s="17"/>
      <c r="W3113" s="66">
        <v>0.54097222222222219</v>
      </c>
      <c r="X3113" s="7">
        <v>57.65</v>
      </c>
      <c r="Y3113" s="7">
        <v>17.600000000000001</v>
      </c>
      <c r="Z3113" s="66">
        <v>0.54097222222222219</v>
      </c>
    </row>
    <row r="3114" spans="2:26" x14ac:dyDescent="0.3">
      <c r="B3114" s="99">
        <f>B3113-50</f>
        <v>15100</v>
      </c>
      <c r="C3114" s="7">
        <v>20.399999999999999</v>
      </c>
      <c r="D3114" s="7">
        <v>20.399999999999999</v>
      </c>
      <c r="E3114" s="16"/>
      <c r="F3114" s="7">
        <f t="shared" si="257"/>
        <v>15079.6</v>
      </c>
      <c r="G3114" s="17"/>
      <c r="H3114" s="7">
        <v>16.850000000000001</v>
      </c>
      <c r="I3114" s="7">
        <v>12</v>
      </c>
      <c r="J3114" s="7">
        <v>8.5</v>
      </c>
      <c r="K3114" s="7">
        <v>9.6999999999999993</v>
      </c>
      <c r="L3114" s="7">
        <v>8.8000000000000007</v>
      </c>
      <c r="N3114" s="7">
        <v>14.55</v>
      </c>
      <c r="O3114" s="7"/>
      <c r="P3114" s="17"/>
      <c r="Q3114" s="7">
        <f>SUM(Q3110:Q3113)</f>
        <v>1425.0000000000005</v>
      </c>
      <c r="R3114" s="7"/>
      <c r="S3114" s="109"/>
      <c r="T3114" s="114"/>
      <c r="V3114" s="17"/>
      <c r="W3114" s="66">
        <v>6.1805555555555558E-2</v>
      </c>
      <c r="X3114" s="7">
        <v>61.15</v>
      </c>
      <c r="Y3114" s="7">
        <v>16.2</v>
      </c>
      <c r="Z3114" s="66">
        <v>6.1805555555555558E-2</v>
      </c>
    </row>
    <row r="3115" spans="2:26" x14ac:dyDescent="0.3">
      <c r="B3115" s="5">
        <f>B3114-50</f>
        <v>15050</v>
      </c>
      <c r="C3115" s="7">
        <v>14.2</v>
      </c>
      <c r="D3115" s="7">
        <v>14.2</v>
      </c>
      <c r="E3115" s="16"/>
      <c r="F3115" s="7">
        <f t="shared" si="257"/>
        <v>15035.8</v>
      </c>
      <c r="G3115" s="17"/>
      <c r="H3115" s="7">
        <v>11.9</v>
      </c>
      <c r="I3115" s="7">
        <v>8.8000000000000007</v>
      </c>
      <c r="J3115" s="7">
        <v>6.4</v>
      </c>
      <c r="K3115" s="7">
        <v>7.3</v>
      </c>
      <c r="L3115" s="7">
        <v>6.45</v>
      </c>
      <c r="N3115" s="7">
        <v>10.55</v>
      </c>
      <c r="O3115" s="7"/>
      <c r="W3115" s="66">
        <v>8.2638888888888887E-2</v>
      </c>
      <c r="X3115" s="7">
        <v>54.85</v>
      </c>
      <c r="Y3115" s="7">
        <v>16.600000000000001</v>
      </c>
      <c r="Z3115" s="66">
        <v>8.2638888888888887E-2</v>
      </c>
    </row>
    <row r="3116" spans="2:26" x14ac:dyDescent="0.3">
      <c r="H3116" s="7"/>
      <c r="I3116" s="7"/>
      <c r="J3116" s="7"/>
      <c r="K3116" s="7"/>
      <c r="L3116" s="7"/>
      <c r="P3116" s="98">
        <f>Q3114</f>
        <v>1425.0000000000005</v>
      </c>
      <c r="Q3116" s="92" t="s">
        <v>72</v>
      </c>
      <c r="R3116" s="17"/>
      <c r="T3116" s="92" t="s">
        <v>73</v>
      </c>
      <c r="U3116" s="7">
        <f>((X3108+Y3108)-(X3116+Y3116))</f>
        <v>7.1499999999999915</v>
      </c>
      <c r="V3116" s="98">
        <f>U3116*150</f>
        <v>1072.4999999999986</v>
      </c>
      <c r="W3116" s="66">
        <v>0.43402777777777773</v>
      </c>
      <c r="X3116" s="7">
        <v>51.8</v>
      </c>
      <c r="Y3116" s="7">
        <v>16.850000000000001</v>
      </c>
      <c r="Z3116" s="66">
        <v>0.50347222222222221</v>
      </c>
    </row>
    <row r="3117" spans="2:26" x14ac:dyDescent="0.3">
      <c r="D3117" s="40"/>
      <c r="G3117" s="101"/>
      <c r="H3117" s="40"/>
    </row>
    <row r="3118" spans="2:26" x14ac:dyDescent="0.3">
      <c r="C3118" s="40"/>
      <c r="G3118" s="101"/>
      <c r="H3118" s="40"/>
      <c r="I3118" s="40"/>
      <c r="J3118" s="40"/>
      <c r="N3118" s="40"/>
    </row>
    <row r="3119" spans="2:26" x14ac:dyDescent="0.3">
      <c r="C3119" s="40"/>
      <c r="H3119" s="40"/>
      <c r="I3119" s="40"/>
      <c r="J3119" s="40"/>
      <c r="N3119" s="40"/>
    </row>
    <row r="3126" spans="2:26" x14ac:dyDescent="0.3">
      <c r="B3126" s="40"/>
      <c r="C3126" s="50">
        <f>AVERAGE(B3127,D3126)</f>
        <v>15348</v>
      </c>
      <c r="D3126" s="51">
        <f>B3127+E3127</f>
        <v>15398</v>
      </c>
      <c r="E3126" s="50">
        <f>AVERAGE(D3126,F3126)</f>
        <v>15448</v>
      </c>
      <c r="F3126" s="50">
        <f>D3126+E3127</f>
        <v>15498</v>
      </c>
      <c r="G3126" s="17"/>
      <c r="H3126" s="88" t="str">
        <f>IF((C3135-D3135)&gt;(C3146-D3146),"LONG",IF(C3146&gt;D3144,"LONG","SHORT"))</f>
        <v>LONG</v>
      </c>
      <c r="I3126" s="104">
        <v>15274</v>
      </c>
      <c r="J3126" s="120" t="s">
        <v>122</v>
      </c>
      <c r="K3126" s="106">
        <v>15329</v>
      </c>
      <c r="L3126" s="17"/>
      <c r="N3126" s="17"/>
      <c r="O3126" s="17"/>
      <c r="U3126" s="17"/>
      <c r="V3126" s="17"/>
    </row>
    <row r="3127" spans="2:26" x14ac:dyDescent="0.3">
      <c r="B3127" s="50">
        <v>15298</v>
      </c>
      <c r="C3127" s="40"/>
      <c r="D3127" s="58"/>
      <c r="E3127" s="59">
        <f>ROUND((((B3127*F3127%)/4)/10),0)*10</f>
        <v>100</v>
      </c>
      <c r="F3127" s="51">
        <f>(100/B3127)*(F3136-F3147)</f>
        <v>2.7078703098444241</v>
      </c>
      <c r="G3127" s="17"/>
      <c r="H3127" s="93">
        <v>0.39166666666666666</v>
      </c>
      <c r="I3127" s="93">
        <v>0.39861111111111108</v>
      </c>
      <c r="J3127" s="93">
        <v>0.4055555555555555</v>
      </c>
      <c r="K3127" s="93">
        <v>0.41250000000000003</v>
      </c>
      <c r="M3127" s="50">
        <v>15300</v>
      </c>
      <c r="N3127" s="17"/>
      <c r="O3127" s="17"/>
      <c r="P3127" s="40"/>
      <c r="U3127" s="17"/>
      <c r="V3127" s="17"/>
      <c r="W3127" s="90" t="s">
        <v>68</v>
      </c>
      <c r="X3127" s="119" t="s">
        <v>69</v>
      </c>
      <c r="Y3127" s="92" t="s">
        <v>70</v>
      </c>
      <c r="Z3127" s="90" t="s">
        <v>68</v>
      </c>
    </row>
    <row r="3128" spans="2:26" x14ac:dyDescent="0.3">
      <c r="B3128" s="40"/>
      <c r="C3128" s="50">
        <f>AVERAGE(B3127,D3128)</f>
        <v>15248</v>
      </c>
      <c r="D3128" s="51">
        <f>B3127-E3127</f>
        <v>15198</v>
      </c>
      <c r="E3128" s="50">
        <f>AVERAGE(D3128,F3128)</f>
        <v>15148</v>
      </c>
      <c r="F3128" s="50">
        <f>D3128-E3127</f>
        <v>15098</v>
      </c>
      <c r="G3128" s="17"/>
      <c r="H3128" s="51">
        <v>15288.35</v>
      </c>
      <c r="I3128" s="51">
        <v>15276.95</v>
      </c>
      <c r="J3128" s="51">
        <v>15287.6</v>
      </c>
      <c r="K3128" s="51">
        <v>15292.65</v>
      </c>
      <c r="L3128" s="17"/>
      <c r="N3128" s="17"/>
      <c r="O3128" s="17"/>
      <c r="P3128" s="40"/>
      <c r="Q3128" s="17"/>
      <c r="R3128" s="17"/>
      <c r="S3128" s="17"/>
      <c r="T3128" s="16"/>
      <c r="U3128" s="17"/>
      <c r="V3128" s="17"/>
      <c r="W3128" s="66">
        <v>0.41597222222222219</v>
      </c>
      <c r="X3128" s="7">
        <v>140</v>
      </c>
      <c r="Y3128" s="7">
        <v>117.3</v>
      </c>
      <c r="Z3128" s="66">
        <v>0.41597222222222219</v>
      </c>
    </row>
    <row r="3129" spans="2:26" x14ac:dyDescent="0.3">
      <c r="B3129" s="17"/>
      <c r="C3129" s="17"/>
      <c r="D3129" s="17"/>
      <c r="E3129" s="17"/>
      <c r="F3129" s="16"/>
      <c r="G3129" s="16"/>
      <c r="H3129" s="17"/>
      <c r="I3129" s="17"/>
      <c r="J3129" s="17"/>
      <c r="K3129" s="16"/>
      <c r="L3129" s="17"/>
      <c r="M3129" s="17"/>
      <c r="N3129" s="17"/>
      <c r="O3129" s="17"/>
      <c r="P3129" s="40"/>
      <c r="Q3129" s="17"/>
      <c r="R3129" s="17"/>
      <c r="S3129" s="17"/>
      <c r="T3129" s="17"/>
      <c r="U3129" s="17"/>
      <c r="V3129" s="17"/>
      <c r="W3129" s="66">
        <v>0.4368055555555555</v>
      </c>
      <c r="X3129" s="7">
        <v>145.05000000000001</v>
      </c>
      <c r="Y3129" s="7">
        <v>108.05</v>
      </c>
      <c r="Z3129" s="66">
        <v>0.4368055555555555</v>
      </c>
    </row>
    <row r="3130" spans="2:26" x14ac:dyDescent="0.3">
      <c r="B3130" s="16"/>
      <c r="C3130" s="17"/>
      <c r="D3130" s="17"/>
      <c r="E3130" s="17"/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Q3130" s="17"/>
      <c r="R3130" s="17"/>
      <c r="S3130" s="17"/>
      <c r="T3130" s="17"/>
      <c r="U3130" s="17"/>
      <c r="V3130" s="17"/>
      <c r="W3130" s="66">
        <v>0.45763888888888887</v>
      </c>
      <c r="X3130" s="7">
        <v>145</v>
      </c>
      <c r="Y3130" s="7">
        <v>105.85</v>
      </c>
      <c r="Z3130" s="66">
        <v>0.45763888888888887</v>
      </c>
    </row>
    <row r="3131" spans="2:26" x14ac:dyDescent="0.3">
      <c r="B3131" s="16"/>
      <c r="C3131" s="95">
        <v>44343</v>
      </c>
      <c r="D3131" s="17"/>
      <c r="E3131" s="17"/>
      <c r="F3131" s="7">
        <f>AVERAGE(F3133,F3144)</f>
        <v>15284.575000000001</v>
      </c>
      <c r="G3131" s="96"/>
      <c r="H3131" s="66">
        <v>0.4777777777777778</v>
      </c>
      <c r="I3131" s="66">
        <v>9.3055555555555558E-2</v>
      </c>
      <c r="J3131" s="66"/>
      <c r="K3131" s="66"/>
      <c r="L3131" s="66">
        <v>0.13541666666666666</v>
      </c>
      <c r="N3131" s="66">
        <v>0.47569444444444442</v>
      </c>
      <c r="O3131" s="66"/>
      <c r="Q3131" s="17"/>
      <c r="R3131" s="17"/>
      <c r="S3131" s="17"/>
      <c r="T3131" s="17"/>
      <c r="U3131" s="17"/>
      <c r="V3131" s="17"/>
      <c r="W3131" s="66">
        <v>0.47847222222222219</v>
      </c>
      <c r="X3131" s="7">
        <v>163</v>
      </c>
      <c r="Y3131" s="7">
        <v>92.3</v>
      </c>
      <c r="Z3131" s="66">
        <v>0.47847222222222219</v>
      </c>
    </row>
    <row r="3132" spans="2:26" x14ac:dyDescent="0.3">
      <c r="B3132" s="90" t="s">
        <v>68</v>
      </c>
      <c r="C3132" s="66">
        <v>0.41666666666666669</v>
      </c>
      <c r="D3132" s="66">
        <v>0.39861111111111108</v>
      </c>
      <c r="E3132" s="17"/>
      <c r="F3132" s="17"/>
      <c r="G3132" s="17"/>
      <c r="H3132" s="23">
        <v>87.4</v>
      </c>
      <c r="I3132" s="23">
        <v>75.650000000000006</v>
      </c>
      <c r="J3132" s="23"/>
      <c r="K3132" s="7"/>
      <c r="L3132" s="7">
        <v>15331.55</v>
      </c>
      <c r="N3132" s="7">
        <v>15342</v>
      </c>
      <c r="O3132" s="7"/>
      <c r="U3132" s="17"/>
      <c r="V3132" s="17"/>
      <c r="W3132" s="66">
        <v>0.4993055555555555</v>
      </c>
      <c r="X3132" s="7">
        <v>169.5</v>
      </c>
      <c r="Y3132" s="7">
        <v>90</v>
      </c>
      <c r="Z3132" s="66">
        <v>0.4993055555555555</v>
      </c>
    </row>
    <row r="3133" spans="2:26" x14ac:dyDescent="0.3">
      <c r="B3133" s="5">
        <f>B3134-50</f>
        <v>15250</v>
      </c>
      <c r="C3133" s="7">
        <v>168.1</v>
      </c>
      <c r="D3133" s="7">
        <v>155.5</v>
      </c>
      <c r="E3133" s="16"/>
      <c r="F3133" s="7">
        <f t="shared" ref="F3133:F3138" si="259">B3133+D3133</f>
        <v>15405.5</v>
      </c>
      <c r="G3133" s="17"/>
      <c r="H3133" s="7">
        <v>193.4</v>
      </c>
      <c r="I3133" s="7">
        <v>172.3</v>
      </c>
      <c r="J3133" s="7"/>
      <c r="K3133" s="7"/>
      <c r="L3133" s="7">
        <v>185</v>
      </c>
      <c r="N3133" s="7">
        <v>189.9</v>
      </c>
      <c r="O3133" s="7"/>
      <c r="Q3133" s="150" t="s">
        <v>129</v>
      </c>
      <c r="R3133" s="151"/>
      <c r="S3133" s="151"/>
      <c r="T3133" s="151"/>
      <c r="V3133" s="17"/>
      <c r="W3133" s="66">
        <v>0.52013888888888882</v>
      </c>
      <c r="X3133" s="7">
        <v>159.30000000000001</v>
      </c>
      <c r="Y3133" s="7">
        <v>94.2</v>
      </c>
      <c r="Z3133" s="66">
        <v>0.52013888888888882</v>
      </c>
    </row>
    <row r="3134" spans="2:26" x14ac:dyDescent="0.3">
      <c r="B3134" s="5">
        <f>B3135-50</f>
        <v>15300</v>
      </c>
      <c r="C3134" s="7">
        <v>140</v>
      </c>
      <c r="D3134" s="7">
        <v>128.94999999999999</v>
      </c>
      <c r="E3134" s="16"/>
      <c r="F3134" s="7">
        <f t="shared" si="259"/>
        <v>15428.95</v>
      </c>
      <c r="G3134" s="17"/>
      <c r="H3134" s="7">
        <v>162.4</v>
      </c>
      <c r="I3134" s="7">
        <v>144.25</v>
      </c>
      <c r="J3134" s="7"/>
      <c r="K3134" s="7"/>
      <c r="L3134" s="7">
        <v>154.75</v>
      </c>
      <c r="N3134" s="7">
        <v>158.75</v>
      </c>
      <c r="O3134" s="7"/>
      <c r="P3134" s="17"/>
      <c r="Q3134" s="159">
        <v>44336</v>
      </c>
      <c r="R3134" s="161">
        <v>14924.1</v>
      </c>
      <c r="S3134" s="161">
        <v>15024.1</v>
      </c>
      <c r="T3134" s="159">
        <v>44336</v>
      </c>
      <c r="V3134" s="17"/>
      <c r="W3134" s="66">
        <v>0.54097222222222219</v>
      </c>
      <c r="X3134" s="7">
        <v>166.2</v>
      </c>
      <c r="Y3134" s="7">
        <v>90.7</v>
      </c>
      <c r="Z3134" s="66">
        <v>0.54097222222222219</v>
      </c>
    </row>
    <row r="3135" spans="2:26" x14ac:dyDescent="0.3">
      <c r="B3135" s="97">
        <v>15350</v>
      </c>
      <c r="C3135" s="7">
        <v>116</v>
      </c>
      <c r="D3135" s="7">
        <v>106</v>
      </c>
      <c r="E3135" s="16"/>
      <c r="F3135" s="7">
        <f t="shared" si="259"/>
        <v>15456</v>
      </c>
      <c r="G3135" s="17"/>
      <c r="H3135" s="7">
        <v>134.5</v>
      </c>
      <c r="I3135" s="7">
        <v>119.8</v>
      </c>
      <c r="J3135" s="7"/>
      <c r="K3135" s="7"/>
      <c r="L3135" s="7">
        <v>128.05000000000001</v>
      </c>
      <c r="N3135" s="7">
        <v>132.19999999999999</v>
      </c>
      <c r="O3135" s="7"/>
      <c r="P3135" s="17"/>
      <c r="Q3135" s="159">
        <v>44337</v>
      </c>
      <c r="R3135" s="161">
        <v>15082.3</v>
      </c>
      <c r="S3135" s="161">
        <v>15215</v>
      </c>
      <c r="T3135" s="159">
        <v>44340</v>
      </c>
      <c r="V3135" s="17"/>
      <c r="W3135" s="66">
        <v>6.1805555555555558E-2</v>
      </c>
      <c r="X3135" s="7">
        <v>171.45</v>
      </c>
      <c r="Y3135" s="7">
        <v>89.25</v>
      </c>
      <c r="Z3135" s="66">
        <v>6.1805555555555558E-2</v>
      </c>
    </row>
    <row r="3136" spans="2:26" x14ac:dyDescent="0.3">
      <c r="B3136" s="5">
        <f>B3135+50</f>
        <v>15400</v>
      </c>
      <c r="C3136" s="7">
        <v>93.8</v>
      </c>
      <c r="D3136" s="7">
        <v>84.65</v>
      </c>
      <c r="E3136" s="16"/>
      <c r="F3136" s="98">
        <f t="shared" si="259"/>
        <v>15484.65</v>
      </c>
      <c r="G3136" s="17"/>
      <c r="H3136" s="7">
        <v>109.55</v>
      </c>
      <c r="I3136" s="7">
        <v>96.8</v>
      </c>
      <c r="J3136" s="7"/>
      <c r="K3136" s="7"/>
      <c r="L3136" s="7">
        <v>102.55</v>
      </c>
      <c r="N3136" s="7">
        <v>107.3</v>
      </c>
      <c r="O3136" s="7"/>
      <c r="P3136" s="17"/>
      <c r="Q3136" s="159">
        <v>44340</v>
      </c>
      <c r="R3136" s="161">
        <v>15170</v>
      </c>
      <c r="S3136" s="161">
        <v>15217.3</v>
      </c>
      <c r="T3136" s="159">
        <v>44337</v>
      </c>
      <c r="V3136" s="17"/>
      <c r="W3136" s="66">
        <v>8.2638888888888887E-2</v>
      </c>
      <c r="X3136" s="7">
        <v>168.45</v>
      </c>
      <c r="Y3136" s="7">
        <v>89.55</v>
      </c>
      <c r="Z3136" s="66">
        <v>8.2638888888888887E-2</v>
      </c>
    </row>
    <row r="3137" spans="2:26" x14ac:dyDescent="0.3">
      <c r="B3137" s="99">
        <f>B3136+50</f>
        <v>15450</v>
      </c>
      <c r="C3137" s="51">
        <v>73.900000000000006</v>
      </c>
      <c r="D3137" s="7">
        <v>65.849999999999994</v>
      </c>
      <c r="E3137" s="16"/>
      <c r="F3137" s="7">
        <f t="shared" si="259"/>
        <v>15515.85</v>
      </c>
      <c r="G3137" s="17"/>
      <c r="H3137" s="7">
        <v>87.5</v>
      </c>
      <c r="I3137" s="7">
        <v>76.95</v>
      </c>
      <c r="J3137" s="7"/>
      <c r="K3137" s="7"/>
      <c r="L3137" s="7">
        <v>80.599999999999994</v>
      </c>
      <c r="N3137" s="7">
        <v>85.2</v>
      </c>
      <c r="O3137" s="7"/>
      <c r="P3137" s="17"/>
      <c r="Q3137" s="159">
        <v>44341</v>
      </c>
      <c r="R3137" s="161">
        <v>15186</v>
      </c>
      <c r="S3137" s="161">
        <v>15276</v>
      </c>
      <c r="T3137" s="159">
        <v>44341</v>
      </c>
      <c r="V3137" s="17"/>
    </row>
    <row r="3138" spans="2:26" x14ac:dyDescent="0.3">
      <c r="B3138" s="5">
        <f>B3137+50</f>
        <v>15500</v>
      </c>
      <c r="C3138" s="7">
        <v>57.9</v>
      </c>
      <c r="D3138" s="7">
        <v>51.1</v>
      </c>
      <c r="E3138" s="16">
        <f>E3139-(F3139-E3139)</f>
        <v>48.950000000000017</v>
      </c>
      <c r="F3138" s="7">
        <f t="shared" si="259"/>
        <v>15551.1</v>
      </c>
      <c r="G3138" s="16"/>
      <c r="H3138" s="7">
        <v>68.25</v>
      </c>
      <c r="I3138" s="7">
        <v>60.95</v>
      </c>
      <c r="J3138" s="7"/>
      <c r="K3138" s="7"/>
      <c r="L3138" s="7">
        <v>63</v>
      </c>
      <c r="N3138" s="7">
        <v>66.7</v>
      </c>
      <c r="O3138" s="7"/>
      <c r="P3138" s="17"/>
      <c r="Q3138" s="159">
        <v>44342</v>
      </c>
      <c r="R3138" s="161">
        <v>15240.1</v>
      </c>
      <c r="S3138" s="161">
        <v>15315.1</v>
      </c>
      <c r="T3138" s="159">
        <v>44342</v>
      </c>
      <c r="V3138" s="17"/>
    </row>
    <row r="3139" spans="2:26" x14ac:dyDescent="0.3">
      <c r="B3139" s="17"/>
      <c r="C3139" s="17"/>
      <c r="D3139" s="16"/>
      <c r="E3139" s="16">
        <f>F3139-(G3139-F3139)</f>
        <v>68.175000000000011</v>
      </c>
      <c r="F3139" s="16">
        <f>AVERAGE(C3136,C3147)</f>
        <v>87.4</v>
      </c>
      <c r="G3139" s="16">
        <f>AVERAGE(C3135,C3146)</f>
        <v>106.625</v>
      </c>
      <c r="H3139" s="7"/>
      <c r="I3139" s="7"/>
      <c r="J3139" s="7"/>
      <c r="K3139" s="7"/>
      <c r="L3139" s="7"/>
      <c r="P3139" s="17"/>
      <c r="V3139" s="16"/>
    </row>
    <row r="3140" spans="2:26" x14ac:dyDescent="0.3">
      <c r="B3140" s="17"/>
      <c r="C3140" s="17"/>
      <c r="D3140" s="16"/>
      <c r="E3140" s="16"/>
      <c r="F3140" s="16"/>
      <c r="G3140" s="16"/>
      <c r="P3140" s="17"/>
      <c r="Q3140" s="17"/>
      <c r="R3140" s="17"/>
      <c r="S3140" s="17"/>
      <c r="T3140" s="16"/>
      <c r="V3140" s="16"/>
      <c r="W3140" s="90" t="s">
        <v>68</v>
      </c>
      <c r="X3140" s="119" t="s">
        <v>69</v>
      </c>
      <c r="Y3140" s="92" t="s">
        <v>70</v>
      </c>
      <c r="Z3140" s="90" t="s">
        <v>68</v>
      </c>
    </row>
    <row r="3141" spans="2:26" x14ac:dyDescent="0.3">
      <c r="B3141" s="17"/>
      <c r="C3141" s="17"/>
      <c r="D3141" s="16"/>
      <c r="E3141" s="16"/>
      <c r="F3141" s="16"/>
      <c r="G3141" s="16"/>
      <c r="H3141" s="101"/>
      <c r="I3141" s="101"/>
      <c r="J3141" s="101"/>
      <c r="K3141" s="101"/>
      <c r="L3141" s="101"/>
      <c r="N3141" s="101"/>
      <c r="O3141" s="101"/>
      <c r="P3141" s="17"/>
      <c r="Q3141" s="17"/>
      <c r="R3141" s="17"/>
      <c r="S3141" s="17"/>
      <c r="T3141" s="16"/>
      <c r="V3141" s="16"/>
      <c r="W3141" s="66">
        <v>0.41597222222222219</v>
      </c>
      <c r="X3141" s="7">
        <v>73.900000000000006</v>
      </c>
      <c r="Y3141" s="7">
        <v>67</v>
      </c>
      <c r="Z3141" s="66">
        <v>0.41597222222222219</v>
      </c>
    </row>
    <row r="3142" spans="2:26" x14ac:dyDescent="0.3">
      <c r="B3142" s="16"/>
      <c r="C3142" s="95">
        <v>44350</v>
      </c>
      <c r="D3142" s="17"/>
      <c r="F3142" s="16"/>
      <c r="H3142" s="66">
        <v>0.4777777777777778</v>
      </c>
      <c r="I3142" s="66">
        <v>9.3055555555555558E-2</v>
      </c>
      <c r="J3142" s="66"/>
      <c r="K3142" s="66"/>
      <c r="L3142" s="66">
        <v>0.13541666666666666</v>
      </c>
      <c r="N3142" s="66">
        <v>0.47569444444444442</v>
      </c>
      <c r="O3142" s="66"/>
      <c r="P3142" s="17"/>
      <c r="Q3142" s="155" t="s">
        <v>72</v>
      </c>
      <c r="R3142" s="155"/>
      <c r="S3142" s="155"/>
      <c r="T3142" s="155"/>
      <c r="V3142" s="17"/>
      <c r="W3142" s="66">
        <v>0.4368055555555555</v>
      </c>
      <c r="X3142" s="7">
        <v>76.650000000000006</v>
      </c>
      <c r="Y3142" s="7">
        <v>61.05</v>
      </c>
      <c r="Z3142" s="66">
        <v>0.4368055555555555</v>
      </c>
    </row>
    <row r="3143" spans="2:26" x14ac:dyDescent="0.3">
      <c r="B3143" s="90" t="s">
        <v>68</v>
      </c>
      <c r="C3143" s="66">
        <v>0.41666666666666669</v>
      </c>
      <c r="D3143" s="66">
        <v>0.38750000000000001</v>
      </c>
      <c r="E3143" s="16">
        <f>F3143-(G3143-F3143)</f>
        <v>59.375</v>
      </c>
      <c r="F3143" s="16">
        <f>AVERAGE(C3147,C3137)</f>
        <v>77.45</v>
      </c>
      <c r="G3143" s="16">
        <f>AVERAGE(C3146,C3136)</f>
        <v>95.525000000000006</v>
      </c>
      <c r="H3143" s="7">
        <v>15346</v>
      </c>
      <c r="I3143" s="7">
        <v>15308.7</v>
      </c>
      <c r="J3143" s="7"/>
      <c r="K3143" s="7"/>
      <c r="L3143" s="7">
        <v>15331.55</v>
      </c>
      <c r="N3143" s="23">
        <v>54.35</v>
      </c>
      <c r="O3143" s="7"/>
      <c r="P3143" s="17"/>
      <c r="Q3143" s="34"/>
      <c r="R3143" s="34" t="s">
        <v>111</v>
      </c>
      <c r="S3143" s="34" t="s">
        <v>2</v>
      </c>
      <c r="T3143" s="34" t="s">
        <v>1</v>
      </c>
      <c r="V3143" s="17"/>
      <c r="W3143" s="66">
        <v>0.45763888888888887</v>
      </c>
      <c r="X3143" s="7">
        <v>76</v>
      </c>
      <c r="Y3143" s="7">
        <v>59</v>
      </c>
      <c r="Z3143" s="66">
        <v>0.45763888888888887</v>
      </c>
    </row>
    <row r="3144" spans="2:26" x14ac:dyDescent="0.3">
      <c r="B3144" s="5">
        <f>B3145+50</f>
        <v>15300</v>
      </c>
      <c r="C3144" s="7">
        <v>139.05000000000001</v>
      </c>
      <c r="D3144" s="7">
        <v>136.35</v>
      </c>
      <c r="E3144" s="16">
        <f>E3143-(F3143-E3143)</f>
        <v>41.3</v>
      </c>
      <c r="F3144" s="7">
        <f t="shared" ref="F3144:F3149" si="260">B3144-D3144</f>
        <v>15163.65</v>
      </c>
      <c r="G3144" s="16"/>
      <c r="H3144" s="7">
        <v>112.9</v>
      </c>
      <c r="I3144" s="7">
        <v>125.45</v>
      </c>
      <c r="J3144" s="7"/>
      <c r="K3144" s="7"/>
      <c r="L3144" s="7">
        <v>107.35</v>
      </c>
      <c r="N3144" s="7">
        <v>115</v>
      </c>
      <c r="O3144" s="7"/>
      <c r="P3144" s="17"/>
      <c r="Q3144" s="7">
        <f>(R3144)*(T3144-S3144)</f>
        <v>-888.74999999999955</v>
      </c>
      <c r="R3144" s="109">
        <v>75</v>
      </c>
      <c r="S3144" s="7">
        <v>87.5</v>
      </c>
      <c r="T3144" s="18">
        <v>75.650000000000006</v>
      </c>
      <c r="V3144" s="16"/>
      <c r="W3144" s="66">
        <v>0.47847222222222219</v>
      </c>
      <c r="X3144" s="7">
        <v>87.35</v>
      </c>
      <c r="Y3144" s="7">
        <v>51.1</v>
      </c>
      <c r="Z3144" s="66">
        <v>0.47847222222222219</v>
      </c>
    </row>
    <row r="3145" spans="2:26" x14ac:dyDescent="0.3">
      <c r="B3145" s="5">
        <f>B3146+50</f>
        <v>15250</v>
      </c>
      <c r="C3145" s="7">
        <v>117.3</v>
      </c>
      <c r="D3145" s="7">
        <v>115.2</v>
      </c>
      <c r="E3145" s="16"/>
      <c r="F3145" s="7">
        <f t="shared" si="260"/>
        <v>15134.8</v>
      </c>
      <c r="G3145" s="17"/>
      <c r="H3145" s="7">
        <v>93.05</v>
      </c>
      <c r="I3145" s="7">
        <v>104.4</v>
      </c>
      <c r="J3145" s="7"/>
      <c r="K3145" s="7"/>
      <c r="L3145" s="7">
        <v>88</v>
      </c>
      <c r="N3145" s="7">
        <v>95.35</v>
      </c>
      <c r="O3145" s="7"/>
      <c r="P3145" s="17"/>
      <c r="Q3145" s="7">
        <f t="shared" ref="Q3145:Q3147" si="261">(R3145)*(T3145-S3145)</f>
        <v>-517.50000000000045</v>
      </c>
      <c r="R3145" s="109">
        <v>75</v>
      </c>
      <c r="S3145" s="7">
        <v>87.5</v>
      </c>
      <c r="T3145" s="18">
        <v>80.599999999999994</v>
      </c>
      <c r="V3145" s="16"/>
      <c r="W3145" s="66">
        <v>0.4993055555555555</v>
      </c>
      <c r="X3145" s="7">
        <v>92</v>
      </c>
      <c r="Y3145" s="7">
        <v>50.05</v>
      </c>
      <c r="Z3145" s="66">
        <v>0.4993055555555555</v>
      </c>
    </row>
    <row r="3146" spans="2:26" x14ac:dyDescent="0.3">
      <c r="B3146" s="97">
        <v>15200</v>
      </c>
      <c r="C3146" s="7">
        <v>97.25</v>
      </c>
      <c r="D3146" s="7">
        <v>95.5</v>
      </c>
      <c r="E3146" s="16"/>
      <c r="F3146" s="7">
        <f t="shared" si="260"/>
        <v>15104.5</v>
      </c>
      <c r="G3146" s="17"/>
      <c r="H3146" s="7">
        <v>76.849999999999994</v>
      </c>
      <c r="I3146" s="7">
        <v>85</v>
      </c>
      <c r="J3146" s="7"/>
      <c r="K3146" s="7"/>
      <c r="L3146" s="7">
        <v>70.7</v>
      </c>
      <c r="N3146" s="7">
        <v>78.5</v>
      </c>
      <c r="O3146" s="7"/>
      <c r="P3146" s="17"/>
      <c r="Q3146" s="7">
        <f t="shared" si="261"/>
        <v>0</v>
      </c>
      <c r="R3146" s="109"/>
      <c r="S3146" s="18"/>
      <c r="T3146" s="18"/>
      <c r="V3146" s="17"/>
      <c r="W3146" s="66">
        <v>0.52013888888888882</v>
      </c>
      <c r="X3146" s="7">
        <v>84.15</v>
      </c>
      <c r="Y3146" s="7">
        <v>52.1</v>
      </c>
      <c r="Z3146" s="66">
        <v>0.52013888888888882</v>
      </c>
    </row>
    <row r="3147" spans="2:26" x14ac:dyDescent="0.3">
      <c r="B3147" s="14">
        <f>B3146-50</f>
        <v>15150</v>
      </c>
      <c r="C3147" s="7">
        <v>81</v>
      </c>
      <c r="D3147" s="7">
        <v>79.599999999999994</v>
      </c>
      <c r="E3147" s="16"/>
      <c r="F3147" s="98">
        <f t="shared" si="260"/>
        <v>15070.4</v>
      </c>
      <c r="G3147" s="17"/>
      <c r="H3147" s="7">
        <v>63.5</v>
      </c>
      <c r="I3147" s="7">
        <v>70.150000000000006</v>
      </c>
      <c r="J3147" s="7"/>
      <c r="K3147" s="7"/>
      <c r="L3147" s="7">
        <v>57.65</v>
      </c>
      <c r="N3147" s="7">
        <v>64.849999999999994</v>
      </c>
      <c r="O3147" s="7"/>
      <c r="P3147" s="17"/>
      <c r="Q3147" s="7">
        <f t="shared" si="261"/>
        <v>0</v>
      </c>
      <c r="R3147" s="109"/>
      <c r="S3147" s="18"/>
      <c r="T3147" s="18"/>
      <c r="V3147" s="17"/>
      <c r="W3147" s="66">
        <v>0.54097222222222219</v>
      </c>
      <c r="X3147" s="7">
        <v>89.7</v>
      </c>
      <c r="Y3147" s="7">
        <v>50.6</v>
      </c>
      <c r="Z3147" s="66">
        <v>0.54097222222222219</v>
      </c>
    </row>
    <row r="3148" spans="2:26" x14ac:dyDescent="0.3">
      <c r="B3148" s="99">
        <f>B3147-50</f>
        <v>15100</v>
      </c>
      <c r="C3148" s="51">
        <v>67</v>
      </c>
      <c r="D3148" s="7">
        <v>66.2</v>
      </c>
      <c r="E3148" s="16"/>
      <c r="F3148" s="7">
        <f t="shared" si="260"/>
        <v>15033.8</v>
      </c>
      <c r="G3148" s="17"/>
      <c r="H3148" s="7">
        <v>51.65</v>
      </c>
      <c r="I3148" s="7">
        <v>56.25</v>
      </c>
      <c r="J3148" s="7"/>
      <c r="K3148" s="7"/>
      <c r="L3148" s="7">
        <v>45.75</v>
      </c>
      <c r="N3148" s="7">
        <v>52.95</v>
      </c>
      <c r="O3148" s="7"/>
      <c r="P3148" s="17"/>
      <c r="Q3148" s="7">
        <f>SUM(Q3144:Q3147)</f>
        <v>-1406.25</v>
      </c>
      <c r="R3148" s="7"/>
      <c r="S3148" s="109"/>
      <c r="T3148" s="114"/>
      <c r="V3148" s="17"/>
      <c r="W3148" s="66">
        <v>6.1805555555555558E-2</v>
      </c>
      <c r="X3148" s="7">
        <v>93.75</v>
      </c>
      <c r="Y3148" s="7">
        <v>49.4</v>
      </c>
      <c r="Z3148" s="66">
        <v>6.1805555555555558E-2</v>
      </c>
    </row>
    <row r="3149" spans="2:26" x14ac:dyDescent="0.3">
      <c r="B3149" s="5">
        <f>B3148-50</f>
        <v>15050</v>
      </c>
      <c r="C3149" s="7">
        <v>54.35</v>
      </c>
      <c r="D3149" s="7">
        <v>54.65</v>
      </c>
      <c r="E3149" s="16"/>
      <c r="F3149" s="7">
        <f t="shared" si="260"/>
        <v>14995.35</v>
      </c>
      <c r="G3149" s="17"/>
      <c r="H3149" s="7">
        <v>42.1</v>
      </c>
      <c r="I3149" s="7">
        <v>45.3</v>
      </c>
      <c r="J3149" s="7"/>
      <c r="K3149" s="7"/>
      <c r="L3149" s="7">
        <v>36.25</v>
      </c>
      <c r="N3149" s="7">
        <v>43</v>
      </c>
      <c r="O3149" s="7"/>
      <c r="W3149" s="66">
        <v>8.2638888888888887E-2</v>
      </c>
      <c r="X3149" s="7">
        <v>91.55</v>
      </c>
      <c r="Y3149" s="7">
        <v>49</v>
      </c>
      <c r="Z3149" s="66">
        <v>8.2638888888888887E-2</v>
      </c>
    </row>
    <row r="3150" spans="2:26" x14ac:dyDescent="0.3">
      <c r="H3150" s="7"/>
      <c r="I3150" s="7"/>
      <c r="J3150" s="7"/>
      <c r="K3150" s="7"/>
      <c r="L3150" s="7"/>
      <c r="P3150" s="98">
        <f>Q3148</f>
        <v>-1406.25</v>
      </c>
      <c r="Q3150" s="92" t="s">
        <v>72</v>
      </c>
      <c r="R3150" s="17"/>
      <c r="T3150" s="92" t="s">
        <v>73</v>
      </c>
      <c r="U3150" s="7">
        <f>((X3142+Y3142)-(X3150+Y3150))</f>
        <v>-10.75</v>
      </c>
      <c r="V3150" s="98">
        <f>U3150*150</f>
        <v>-1612.5</v>
      </c>
      <c r="W3150" s="66">
        <v>0.4777777777777778</v>
      </c>
      <c r="X3150" s="23">
        <v>87.4</v>
      </c>
      <c r="Y3150" s="7">
        <v>61.05</v>
      </c>
      <c r="Z3150" s="66">
        <v>0.10555555555555556</v>
      </c>
    </row>
    <row r="3152" spans="2:26" x14ac:dyDescent="0.3">
      <c r="H3152" s="40"/>
      <c r="I3152" s="40"/>
    </row>
    <row r="3153" spans="2:26" x14ac:dyDescent="0.3">
      <c r="H3153" s="40"/>
      <c r="I3153" s="40"/>
    </row>
    <row r="3155" spans="2:26" x14ac:dyDescent="0.3">
      <c r="H3155" s="40"/>
    </row>
    <row r="3156" spans="2:26" x14ac:dyDescent="0.3">
      <c r="H3156" s="40"/>
    </row>
    <row r="3160" spans="2:26" x14ac:dyDescent="0.3">
      <c r="B3160" s="40"/>
      <c r="C3160" s="50">
        <f>AVERAGE(B3161,D3160)</f>
        <v>15506.95</v>
      </c>
      <c r="D3160" s="51">
        <f>B3161+E3161</f>
        <v>15551.95</v>
      </c>
      <c r="E3160" s="50">
        <f>AVERAGE(D3160,F3160)</f>
        <v>15596.95</v>
      </c>
      <c r="F3160" s="50">
        <f>D3160+E3161</f>
        <v>15641.95</v>
      </c>
      <c r="G3160" s="17"/>
      <c r="H3160" s="88" t="str">
        <f>IF((C3169-D3169)&gt;(C3180-D3180),"LONG",IF(C3180&gt;D3178,"LONG","SHORT"))</f>
        <v>SHORT</v>
      </c>
      <c r="I3160" s="104">
        <v>15435</v>
      </c>
      <c r="J3160" s="120" t="s">
        <v>122</v>
      </c>
      <c r="K3160" s="106">
        <v>15492</v>
      </c>
      <c r="L3160" s="17"/>
      <c r="N3160" s="17"/>
      <c r="O3160" s="17"/>
      <c r="U3160" s="17"/>
      <c r="V3160" s="17"/>
    </row>
    <row r="3161" spans="2:26" x14ac:dyDescent="0.3">
      <c r="B3161" s="50">
        <v>15461.95</v>
      </c>
      <c r="C3161" s="40"/>
      <c r="D3161" s="58"/>
      <c r="E3161" s="59">
        <f>ROUND((((B3161*F3161%)/4)/10),0)*10</f>
        <v>90</v>
      </c>
      <c r="F3161" s="51">
        <f>(100/B3161)*(F3170-F3181)</f>
        <v>2.4298358227778563</v>
      </c>
      <c r="G3161" s="17"/>
      <c r="H3161" s="93">
        <v>0.39166666666666666</v>
      </c>
      <c r="I3161" s="93">
        <v>0.39861111111111108</v>
      </c>
      <c r="J3161" s="93">
        <v>0.4055555555555555</v>
      </c>
      <c r="K3161" s="93">
        <v>0.41250000000000003</v>
      </c>
      <c r="M3161" s="50">
        <v>13800</v>
      </c>
      <c r="N3161" s="17"/>
      <c r="O3161" s="17"/>
      <c r="U3161" s="17"/>
      <c r="V3161" s="17"/>
      <c r="W3161" s="90" t="s">
        <v>68</v>
      </c>
      <c r="X3161" s="119" t="s">
        <v>69</v>
      </c>
      <c r="Y3161" s="92" t="s">
        <v>70</v>
      </c>
      <c r="Z3161" s="90" t="s">
        <v>68</v>
      </c>
    </row>
    <row r="3162" spans="2:26" x14ac:dyDescent="0.3">
      <c r="B3162" s="40"/>
      <c r="C3162" s="50">
        <f>AVERAGE(B3161,D3162)</f>
        <v>15416.95</v>
      </c>
      <c r="D3162" s="51">
        <f>B3161-E3161</f>
        <v>15371.95</v>
      </c>
      <c r="E3162" s="50">
        <f>AVERAGE(D3162,F3162)</f>
        <v>15326.95</v>
      </c>
      <c r="F3162" s="50">
        <f>D3162-E3161</f>
        <v>15281.95</v>
      </c>
      <c r="G3162" s="17"/>
      <c r="H3162" s="51">
        <v>15459.6</v>
      </c>
      <c r="I3162" s="51">
        <v>15456.9</v>
      </c>
      <c r="J3162" s="51">
        <v>15479.75</v>
      </c>
      <c r="K3162" s="51">
        <v>15471</v>
      </c>
      <c r="L3162" s="17"/>
      <c r="N3162" s="17"/>
      <c r="O3162" s="17"/>
      <c r="Q3162" s="17"/>
      <c r="R3162" s="17"/>
      <c r="S3162" s="17"/>
      <c r="T3162" s="16"/>
      <c r="U3162" s="17"/>
      <c r="V3162" s="17"/>
      <c r="W3162" s="66">
        <v>0.41597222222222219</v>
      </c>
      <c r="X3162" s="7">
        <v>106.6</v>
      </c>
      <c r="Y3162" s="7">
        <v>130.44999999999999</v>
      </c>
      <c r="Z3162" s="66">
        <v>0.41597222222222219</v>
      </c>
    </row>
    <row r="3163" spans="2:26" x14ac:dyDescent="0.3">
      <c r="B3163" s="17"/>
      <c r="C3163" s="17"/>
      <c r="D3163" s="17"/>
      <c r="E3163" s="17"/>
      <c r="F3163" s="16"/>
      <c r="G3163" s="16"/>
      <c r="H3163" s="17"/>
      <c r="I3163" s="17"/>
      <c r="J3163" s="17"/>
      <c r="K3163" s="16"/>
      <c r="L3163" s="17"/>
      <c r="M3163" s="17"/>
      <c r="N3163" s="17"/>
      <c r="O3163" s="17"/>
      <c r="Q3163" s="17"/>
      <c r="R3163" s="17"/>
      <c r="S3163" s="17"/>
      <c r="T3163" s="17"/>
      <c r="U3163" s="17"/>
      <c r="V3163" s="17"/>
      <c r="W3163" s="66">
        <v>0.4368055555555555</v>
      </c>
      <c r="X3163" s="7">
        <v>108.7</v>
      </c>
      <c r="Y3163" s="7">
        <v>125</v>
      </c>
      <c r="Z3163" s="66">
        <v>0.4368055555555555</v>
      </c>
    </row>
    <row r="3164" spans="2:26" x14ac:dyDescent="0.3">
      <c r="B3164" s="16"/>
      <c r="C3164" s="17"/>
      <c r="D3164" s="17"/>
      <c r="E3164" s="17"/>
      <c r="F3164" s="17"/>
      <c r="G3164" s="17"/>
      <c r="H3164" s="17"/>
      <c r="I3164" s="16"/>
      <c r="J3164" s="17"/>
      <c r="K3164" s="17"/>
      <c r="L3164" s="17"/>
      <c r="M3164" s="17"/>
      <c r="N3164" s="17"/>
      <c r="O3164" s="17"/>
      <c r="Q3164" s="17"/>
      <c r="R3164" s="17"/>
      <c r="S3164" s="17"/>
      <c r="T3164" s="17"/>
      <c r="U3164" s="17"/>
      <c r="V3164" s="17"/>
      <c r="W3164" s="66">
        <v>0.45763888888888887</v>
      </c>
      <c r="X3164" s="7">
        <v>101.3</v>
      </c>
      <c r="Y3164" s="7">
        <v>133.94999999999999</v>
      </c>
      <c r="Z3164" s="66">
        <v>0.45763888888888887</v>
      </c>
    </row>
    <row r="3165" spans="2:26" x14ac:dyDescent="0.3">
      <c r="B3165" s="16"/>
      <c r="C3165" s="95">
        <v>44344</v>
      </c>
      <c r="D3165" s="17"/>
      <c r="E3165" s="17"/>
      <c r="F3165" s="7">
        <f>AVERAGE(F3167,F3178)</f>
        <v>15451.05</v>
      </c>
      <c r="G3165" s="96"/>
      <c r="H3165" s="66">
        <v>0.45902777777777781</v>
      </c>
      <c r="I3165" s="66">
        <v>0.50486111111111109</v>
      </c>
      <c r="J3165" s="66">
        <v>7.2222222222222229E-2</v>
      </c>
      <c r="K3165" s="66"/>
      <c r="L3165" s="66">
        <v>0.13541666666666666</v>
      </c>
      <c r="N3165" s="66">
        <v>7.4305555555555555E-2</v>
      </c>
      <c r="O3165" s="66"/>
      <c r="Q3165" s="17"/>
      <c r="R3165" s="17"/>
      <c r="S3165" s="17"/>
      <c r="T3165" s="17"/>
      <c r="U3165" s="17"/>
      <c r="V3165" s="17"/>
      <c r="W3165" s="66">
        <v>0.47847222222222219</v>
      </c>
      <c r="X3165" s="7">
        <v>95.6</v>
      </c>
      <c r="Y3165" s="7">
        <v>135.44999999999999</v>
      </c>
      <c r="Z3165" s="66">
        <v>0.47847222222222219</v>
      </c>
    </row>
    <row r="3166" spans="2:26" x14ac:dyDescent="0.3">
      <c r="B3166" s="90" t="s">
        <v>68</v>
      </c>
      <c r="C3166" s="66">
        <v>0.41666666666666669</v>
      </c>
      <c r="D3166" s="66">
        <v>0.39305555555555555</v>
      </c>
      <c r="E3166" s="17"/>
      <c r="F3166" s="17"/>
      <c r="G3166" s="17"/>
      <c r="H3166" s="7">
        <v>15440</v>
      </c>
      <c r="I3166" s="7">
        <v>15462.6</v>
      </c>
      <c r="J3166" s="7">
        <v>15480.25</v>
      </c>
      <c r="K3166" s="7"/>
      <c r="L3166" s="7">
        <v>15463.75</v>
      </c>
      <c r="N3166" s="7">
        <v>15495.4</v>
      </c>
      <c r="O3166" s="7"/>
      <c r="U3166" s="17"/>
      <c r="V3166" s="17"/>
      <c r="W3166" s="66">
        <v>0.4993055555555555</v>
      </c>
      <c r="X3166" s="7">
        <v>100.95</v>
      </c>
      <c r="Y3166" s="7">
        <v>125.7</v>
      </c>
      <c r="Z3166" s="66">
        <v>0.4993055555555555</v>
      </c>
    </row>
    <row r="3167" spans="2:26" x14ac:dyDescent="0.3">
      <c r="B3167" s="5">
        <f>B3168-50</f>
        <v>15450</v>
      </c>
      <c r="C3167" s="7">
        <v>106.6</v>
      </c>
      <c r="D3167" s="7">
        <v>100</v>
      </c>
      <c r="E3167" s="16"/>
      <c r="F3167" s="7">
        <f t="shared" ref="F3167:F3172" si="262">B3167+D3167</f>
        <v>15550</v>
      </c>
      <c r="G3167" s="17"/>
      <c r="H3167" s="7">
        <v>96.55</v>
      </c>
      <c r="I3167" s="7">
        <v>101.65</v>
      </c>
      <c r="J3167" s="7">
        <v>108.5</v>
      </c>
      <c r="K3167" s="7"/>
      <c r="L3167" s="7">
        <v>97</v>
      </c>
      <c r="N3167" s="7">
        <v>114.6</v>
      </c>
      <c r="O3167" s="7"/>
      <c r="Q3167" s="150" t="s">
        <v>129</v>
      </c>
      <c r="R3167" s="151"/>
      <c r="S3167" s="151"/>
      <c r="T3167" s="151"/>
      <c r="V3167" s="17"/>
      <c r="W3167" s="66">
        <v>0.52013888888888882</v>
      </c>
      <c r="X3167" s="7">
        <v>98.25</v>
      </c>
      <c r="Y3167" s="7">
        <v>128.44999999999999</v>
      </c>
      <c r="Z3167" s="66">
        <v>0.52013888888888882</v>
      </c>
    </row>
    <row r="3168" spans="2:26" x14ac:dyDescent="0.3">
      <c r="B3168" s="5">
        <f>B3169-50</f>
        <v>15500</v>
      </c>
      <c r="C3168" s="7">
        <v>83.75</v>
      </c>
      <c r="D3168" s="7">
        <v>78.650000000000006</v>
      </c>
      <c r="E3168" s="16"/>
      <c r="F3168" s="7">
        <f t="shared" si="262"/>
        <v>15578.65</v>
      </c>
      <c r="G3168" s="17"/>
      <c r="H3168" s="7">
        <v>74.95</v>
      </c>
      <c r="I3168" s="7">
        <v>78.3</v>
      </c>
      <c r="J3168" s="7">
        <v>84</v>
      </c>
      <c r="K3168" s="7"/>
      <c r="L3168" s="7">
        <v>74</v>
      </c>
      <c r="N3168" s="7">
        <v>89</v>
      </c>
      <c r="O3168" s="7"/>
      <c r="P3168" s="17"/>
      <c r="Q3168" s="159">
        <v>44337</v>
      </c>
      <c r="R3168" s="161">
        <v>15082.3</v>
      </c>
      <c r="S3168" s="161">
        <v>15215</v>
      </c>
      <c r="T3168" s="159">
        <v>44340</v>
      </c>
      <c r="V3168" s="17"/>
      <c r="W3168" s="66">
        <v>0.54097222222222219</v>
      </c>
      <c r="X3168" s="7">
        <v>100.8</v>
      </c>
      <c r="Y3168" s="7">
        <v>125</v>
      </c>
      <c r="Z3168" s="66">
        <v>0.54097222222222219</v>
      </c>
    </row>
    <row r="3169" spans="2:26" x14ac:dyDescent="0.3">
      <c r="B3169" s="97">
        <v>15550</v>
      </c>
      <c r="C3169" s="7">
        <v>63.75</v>
      </c>
      <c r="D3169" s="7">
        <v>60.1</v>
      </c>
      <c r="E3169" s="16"/>
      <c r="F3169" s="7">
        <f t="shared" si="262"/>
        <v>15610.1</v>
      </c>
      <c r="G3169" s="17"/>
      <c r="H3169" s="7">
        <v>55.85</v>
      </c>
      <c r="I3169" s="7">
        <v>58</v>
      </c>
      <c r="J3169" s="7">
        <v>62.2</v>
      </c>
      <c r="K3169" s="7"/>
      <c r="L3169" s="7">
        <v>54.35</v>
      </c>
      <c r="N3169" s="7">
        <v>66.400000000000006</v>
      </c>
      <c r="O3169" s="7"/>
      <c r="P3169" s="17"/>
      <c r="Q3169" s="159">
        <v>44340</v>
      </c>
      <c r="R3169" s="161">
        <v>15170</v>
      </c>
      <c r="S3169" s="161">
        <v>15217.3</v>
      </c>
      <c r="T3169" s="159">
        <v>44337</v>
      </c>
      <c r="V3169" s="17"/>
      <c r="W3169" s="66">
        <v>6.1805555555555558E-2</v>
      </c>
      <c r="X3169" s="7">
        <v>99.2</v>
      </c>
      <c r="Y3169" s="7">
        <v>125</v>
      </c>
      <c r="Z3169" s="66">
        <v>6.1805555555555558E-2</v>
      </c>
    </row>
    <row r="3170" spans="2:26" x14ac:dyDescent="0.3">
      <c r="B3170" s="5">
        <f>B3169+50</f>
        <v>15600</v>
      </c>
      <c r="C3170" s="51">
        <v>47.3</v>
      </c>
      <c r="D3170" s="7">
        <v>44.95</v>
      </c>
      <c r="E3170" s="16"/>
      <c r="F3170" s="98">
        <f t="shared" si="262"/>
        <v>15644.95</v>
      </c>
      <c r="G3170" s="16"/>
      <c r="H3170" s="7">
        <v>41.35</v>
      </c>
      <c r="I3170" s="7">
        <v>42.5</v>
      </c>
      <c r="J3170" s="7">
        <v>45.3</v>
      </c>
      <c r="K3170" s="7"/>
      <c r="L3170" s="7">
        <v>39.15</v>
      </c>
      <c r="N3170" s="7">
        <v>48.3</v>
      </c>
      <c r="O3170" s="7"/>
      <c r="P3170" s="17"/>
      <c r="Q3170" s="159">
        <v>44341</v>
      </c>
      <c r="R3170" s="161">
        <v>15186</v>
      </c>
      <c r="S3170" s="161">
        <v>15276</v>
      </c>
      <c r="T3170" s="159">
        <v>44341</v>
      </c>
      <c r="V3170" s="17"/>
      <c r="W3170" s="66">
        <v>8.2638888888888887E-2</v>
      </c>
      <c r="X3170" s="7">
        <v>113.6</v>
      </c>
      <c r="Y3170" s="7">
        <v>107.15</v>
      </c>
      <c r="Z3170" s="66">
        <v>8.2638888888888887E-2</v>
      </c>
    </row>
    <row r="3171" spans="2:26" x14ac:dyDescent="0.3">
      <c r="B3171" s="99">
        <f>B3170+50</f>
        <v>15650</v>
      </c>
      <c r="C3171" s="7">
        <v>34.25</v>
      </c>
      <c r="D3171" s="7">
        <v>32.950000000000003</v>
      </c>
      <c r="E3171" s="16"/>
      <c r="F3171" s="7">
        <f t="shared" si="262"/>
        <v>15682.95</v>
      </c>
      <c r="G3171" s="17"/>
      <c r="H3171" s="7">
        <v>30</v>
      </c>
      <c r="I3171" s="7">
        <v>30.2</v>
      </c>
      <c r="J3171" s="7">
        <v>31.95</v>
      </c>
      <c r="K3171" s="7"/>
      <c r="L3171" s="7">
        <v>27.25</v>
      </c>
      <c r="N3171" s="7">
        <v>33.950000000000003</v>
      </c>
      <c r="O3171" s="7"/>
      <c r="P3171" s="17"/>
      <c r="Q3171" s="159">
        <v>44342</v>
      </c>
      <c r="R3171" s="161">
        <v>15240.1</v>
      </c>
      <c r="S3171" s="161">
        <v>15315.1</v>
      </c>
      <c r="T3171" s="159">
        <v>44342</v>
      </c>
      <c r="V3171" s="17"/>
    </row>
    <row r="3172" spans="2:26" x14ac:dyDescent="0.3">
      <c r="B3172" s="5">
        <f>B3171+50</f>
        <v>15700</v>
      </c>
      <c r="C3172" s="7">
        <v>24.5</v>
      </c>
      <c r="D3172" s="7">
        <v>23.75</v>
      </c>
      <c r="E3172" s="16">
        <f>E3173-(F3173-E3173)</f>
        <v>29.549999999999997</v>
      </c>
      <c r="F3172" s="7">
        <f t="shared" si="262"/>
        <v>15723.75</v>
      </c>
      <c r="G3172" s="16"/>
      <c r="H3172" s="7">
        <v>21.55</v>
      </c>
      <c r="I3172" s="7">
        <v>21.2</v>
      </c>
      <c r="J3172" s="7">
        <v>22.2</v>
      </c>
      <c r="K3172" s="7"/>
      <c r="L3172" s="7">
        <v>18.899999999999999</v>
      </c>
      <c r="N3172" s="7">
        <v>23.5</v>
      </c>
      <c r="O3172" s="7"/>
      <c r="P3172" s="17"/>
      <c r="Q3172" s="159">
        <v>44343</v>
      </c>
      <c r="R3172" s="161">
        <v>15298</v>
      </c>
      <c r="S3172" s="161">
        <v>15348</v>
      </c>
      <c r="T3172" s="159">
        <v>44343</v>
      </c>
      <c r="V3172" s="17"/>
    </row>
    <row r="3173" spans="2:26" x14ac:dyDescent="0.3">
      <c r="B3173" s="17"/>
      <c r="C3173" s="17"/>
      <c r="D3173" s="16"/>
      <c r="E3173" s="16">
        <f>F3173-(G3173-F3173)</f>
        <v>48.174999999999997</v>
      </c>
      <c r="F3173" s="16">
        <f>AVERAGE(C3169,C3182)</f>
        <v>66.8</v>
      </c>
      <c r="G3173" s="16">
        <f>AVERAGE(C3168,C3181)</f>
        <v>85.424999999999997</v>
      </c>
      <c r="H3173" s="7"/>
      <c r="I3173" s="7"/>
      <c r="J3173" s="7"/>
      <c r="K3173" s="7"/>
      <c r="L3173" s="7"/>
      <c r="P3173" s="17"/>
      <c r="V3173" s="16"/>
    </row>
    <row r="3174" spans="2:26" x14ac:dyDescent="0.3">
      <c r="B3174" s="17"/>
      <c r="C3174" s="17"/>
      <c r="D3174" s="16"/>
      <c r="E3174" s="16"/>
      <c r="F3174" s="16"/>
      <c r="G3174" s="16"/>
      <c r="P3174" s="17"/>
      <c r="Q3174" s="17"/>
      <c r="R3174" s="17"/>
      <c r="S3174" s="17"/>
      <c r="T3174" s="16"/>
      <c r="V3174" s="16"/>
      <c r="W3174" s="90" t="s">
        <v>68</v>
      </c>
      <c r="X3174" s="119" t="s">
        <v>69</v>
      </c>
      <c r="Y3174" s="92" t="s">
        <v>70</v>
      </c>
      <c r="Z3174" s="90" t="s">
        <v>68</v>
      </c>
    </row>
    <row r="3175" spans="2:26" x14ac:dyDescent="0.3">
      <c r="B3175" s="17"/>
      <c r="C3175" s="17"/>
      <c r="D3175" s="16"/>
      <c r="E3175" s="16"/>
      <c r="F3175" s="16"/>
      <c r="G3175" s="16"/>
      <c r="H3175" s="101"/>
      <c r="I3175" s="101"/>
      <c r="J3175" s="101"/>
      <c r="K3175" s="101"/>
      <c r="L3175" s="101"/>
      <c r="N3175" s="101"/>
      <c r="O3175" s="101"/>
      <c r="P3175" s="17"/>
      <c r="Q3175" s="17"/>
      <c r="R3175" s="17"/>
      <c r="S3175" s="17"/>
      <c r="T3175" s="16"/>
      <c r="V3175" s="16"/>
      <c r="W3175" s="66">
        <v>0.41597222222222219</v>
      </c>
      <c r="X3175" s="7">
        <v>47.3</v>
      </c>
      <c r="Y3175" s="7">
        <v>69.849999999999994</v>
      </c>
      <c r="Z3175" s="66">
        <v>0.41597222222222219</v>
      </c>
    </row>
    <row r="3176" spans="2:26" x14ac:dyDescent="0.3">
      <c r="B3176" s="16"/>
      <c r="C3176" s="95">
        <v>44350</v>
      </c>
      <c r="D3176" s="17"/>
      <c r="F3176" s="16"/>
      <c r="H3176" s="66">
        <v>0.45902777777777781</v>
      </c>
      <c r="I3176" s="66">
        <v>0.50486111111111109</v>
      </c>
      <c r="J3176" s="66">
        <v>7.2222222222222229E-2</v>
      </c>
      <c r="K3176" s="66"/>
      <c r="L3176" s="66">
        <v>0.13541666666666666</v>
      </c>
      <c r="N3176" s="66">
        <v>7.4305555555555555E-2</v>
      </c>
      <c r="O3176" s="66"/>
      <c r="P3176" s="17"/>
      <c r="Q3176" s="150" t="s">
        <v>72</v>
      </c>
      <c r="R3176" s="151"/>
      <c r="S3176" s="165">
        <f>C3165</f>
        <v>44344</v>
      </c>
      <c r="T3176" s="152"/>
      <c r="V3176" s="17"/>
      <c r="W3176" s="66">
        <v>0.4368055555555555</v>
      </c>
      <c r="X3176" s="7">
        <v>48.3</v>
      </c>
      <c r="Y3176" s="7">
        <v>66</v>
      </c>
      <c r="Z3176" s="66">
        <v>0.4368055555555555</v>
      </c>
    </row>
    <row r="3177" spans="2:26" x14ac:dyDescent="0.3">
      <c r="B3177" s="90" t="s">
        <v>68</v>
      </c>
      <c r="C3177" s="66">
        <v>0.41666666666666669</v>
      </c>
      <c r="D3177" s="66">
        <v>0.40625</v>
      </c>
      <c r="E3177" s="16">
        <f>F3177-(G3177-F3177)</f>
        <v>55.3</v>
      </c>
      <c r="F3177" s="16">
        <f>AVERAGE(C3181,C3169)</f>
        <v>75.424999999999997</v>
      </c>
      <c r="G3177" s="16">
        <f>AVERAGE(C3180,C3168)</f>
        <v>95.55</v>
      </c>
      <c r="H3177" s="23">
        <v>75.400000000000006</v>
      </c>
      <c r="I3177" s="7">
        <v>64.8</v>
      </c>
      <c r="J3177" s="23">
        <v>55.3</v>
      </c>
      <c r="K3177" s="7"/>
      <c r="L3177" s="7">
        <v>15463.75</v>
      </c>
      <c r="N3177" s="7">
        <v>54.95</v>
      </c>
      <c r="O3177" s="7"/>
      <c r="P3177" s="17"/>
      <c r="Q3177" s="34"/>
      <c r="R3177" s="34" t="s">
        <v>111</v>
      </c>
      <c r="S3177" s="34" t="s">
        <v>2</v>
      </c>
      <c r="T3177" s="34" t="s">
        <v>1</v>
      </c>
      <c r="V3177" s="17"/>
      <c r="W3177" s="66">
        <v>0.45763888888888887</v>
      </c>
      <c r="X3177" s="7">
        <v>43.75</v>
      </c>
      <c r="Y3177" s="7">
        <v>71.349999999999994</v>
      </c>
      <c r="Z3177" s="66">
        <v>0.45763888888888887</v>
      </c>
    </row>
    <row r="3178" spans="2:26" x14ac:dyDescent="0.3">
      <c r="B3178" s="5">
        <f>B3179+50</f>
        <v>15500</v>
      </c>
      <c r="C3178" s="7">
        <v>158.55000000000001</v>
      </c>
      <c r="D3178" s="7">
        <v>147.9</v>
      </c>
      <c r="E3178" s="16">
        <f>E3177-(F3177-E3177)</f>
        <v>35.174999999999997</v>
      </c>
      <c r="F3178" s="7">
        <f t="shared" ref="F3178:F3183" si="263">B3178-D3178</f>
        <v>15352.1</v>
      </c>
      <c r="G3178" s="16"/>
      <c r="H3178" s="7">
        <v>168.7</v>
      </c>
      <c r="I3178" s="7">
        <v>152.35</v>
      </c>
      <c r="J3178" s="7">
        <v>137.75</v>
      </c>
      <c r="K3178" s="7"/>
      <c r="L3178" s="7">
        <v>146.55000000000001</v>
      </c>
      <c r="N3178" s="7">
        <v>129.6</v>
      </c>
      <c r="O3178" s="7"/>
      <c r="P3178" s="17"/>
      <c r="Q3178" s="7">
        <f>(R3178)*(T3178-S3178)</f>
        <v>-742.50000000000045</v>
      </c>
      <c r="R3178" s="109">
        <v>75</v>
      </c>
      <c r="S3178" s="7">
        <v>74.7</v>
      </c>
      <c r="T3178" s="18">
        <v>64.8</v>
      </c>
      <c r="V3178" s="16"/>
      <c r="W3178" s="66">
        <v>0.47847222222222219</v>
      </c>
      <c r="X3178" s="7">
        <v>40</v>
      </c>
      <c r="Y3178" s="7">
        <v>71.849999999999994</v>
      </c>
      <c r="Z3178" s="66">
        <v>0.47847222222222219</v>
      </c>
    </row>
    <row r="3179" spans="2:26" x14ac:dyDescent="0.3">
      <c r="B3179" s="5">
        <f>B3180+50</f>
        <v>15450</v>
      </c>
      <c r="C3179" s="7">
        <v>130.44999999999999</v>
      </c>
      <c r="D3179" s="7">
        <v>121.8</v>
      </c>
      <c r="E3179" s="16"/>
      <c r="F3179" s="7">
        <f t="shared" si="263"/>
        <v>15328.2</v>
      </c>
      <c r="G3179" s="17"/>
      <c r="H3179" s="7">
        <v>140.05000000000001</v>
      </c>
      <c r="I3179" s="7">
        <v>125.7</v>
      </c>
      <c r="J3179" s="7">
        <v>112.6</v>
      </c>
      <c r="K3179" s="7"/>
      <c r="L3179" s="7">
        <v>119.25</v>
      </c>
      <c r="N3179" s="7">
        <v>105.25</v>
      </c>
      <c r="O3179" s="7"/>
      <c r="P3179" s="17"/>
      <c r="Q3179" s="7">
        <f t="shared" ref="Q3179:Q3181" si="264">(R3179)*(T3179-S3179)</f>
        <v>-1117.5000000000005</v>
      </c>
      <c r="R3179" s="109">
        <v>75</v>
      </c>
      <c r="S3179" s="7">
        <v>74.7</v>
      </c>
      <c r="T3179" s="18">
        <v>59.8</v>
      </c>
      <c r="V3179" s="16"/>
      <c r="W3179" s="66">
        <v>0.4993055555555555</v>
      </c>
      <c r="X3179" s="7">
        <v>41.95</v>
      </c>
      <c r="Y3179" s="7">
        <v>66.099999999999994</v>
      </c>
      <c r="Z3179" s="66">
        <v>0.4993055555555555</v>
      </c>
    </row>
    <row r="3180" spans="2:26" x14ac:dyDescent="0.3">
      <c r="B3180" s="97">
        <v>15400</v>
      </c>
      <c r="C3180" s="7">
        <v>107.35</v>
      </c>
      <c r="D3180" s="7">
        <v>100.25</v>
      </c>
      <c r="E3180" s="16"/>
      <c r="F3180" s="7">
        <f t="shared" si="263"/>
        <v>15299.75</v>
      </c>
      <c r="G3180" s="17"/>
      <c r="H3180" s="7">
        <v>115.55</v>
      </c>
      <c r="I3180" s="7">
        <v>102.4</v>
      </c>
      <c r="J3180" s="7">
        <v>90.95</v>
      </c>
      <c r="K3180" s="7"/>
      <c r="L3180" s="7">
        <v>95.65</v>
      </c>
      <c r="N3180" s="7">
        <v>84.2</v>
      </c>
      <c r="O3180" s="7"/>
      <c r="P3180" s="17"/>
      <c r="Q3180" s="7">
        <f t="shared" si="264"/>
        <v>337.5</v>
      </c>
      <c r="R3180" s="109">
        <v>75</v>
      </c>
      <c r="S3180" s="18">
        <v>55.3</v>
      </c>
      <c r="T3180" s="18">
        <v>59.8</v>
      </c>
      <c r="V3180" s="17"/>
      <c r="W3180" s="66">
        <v>0.52013888888888882</v>
      </c>
      <c r="X3180" s="7">
        <v>40.65</v>
      </c>
      <c r="Y3180" s="7">
        <v>67.150000000000006</v>
      </c>
      <c r="Z3180" s="66">
        <v>0.52013888888888882</v>
      </c>
    </row>
    <row r="3181" spans="2:26" x14ac:dyDescent="0.3">
      <c r="B3181" s="14">
        <f>B3180-50</f>
        <v>15350</v>
      </c>
      <c r="C3181" s="7">
        <v>87.1</v>
      </c>
      <c r="D3181" s="7">
        <v>80.75</v>
      </c>
      <c r="E3181" s="16"/>
      <c r="F3181" s="98">
        <f t="shared" si="263"/>
        <v>15269.25</v>
      </c>
      <c r="G3181" s="17"/>
      <c r="H3181" s="7">
        <v>93.7</v>
      </c>
      <c r="I3181" s="7">
        <v>82.25</v>
      </c>
      <c r="J3181" s="7">
        <v>72.8</v>
      </c>
      <c r="K3181" s="7"/>
      <c r="L3181" s="7">
        <v>76.150000000000006</v>
      </c>
      <c r="N3181" s="7">
        <v>67.55</v>
      </c>
      <c r="O3181" s="7"/>
      <c r="P3181" s="17"/>
      <c r="Q3181" s="7">
        <f t="shared" si="264"/>
        <v>0</v>
      </c>
      <c r="R3181" s="109"/>
      <c r="S3181" s="18"/>
      <c r="T3181" s="18"/>
      <c r="V3181" s="17"/>
      <c r="W3181" s="66">
        <v>0.54097222222222219</v>
      </c>
      <c r="X3181" s="7">
        <v>41.75</v>
      </c>
      <c r="Y3181" s="7">
        <v>65</v>
      </c>
      <c r="Z3181" s="66">
        <v>0.54097222222222219</v>
      </c>
    </row>
    <row r="3182" spans="2:26" x14ac:dyDescent="0.3">
      <c r="B3182" s="99">
        <f>B3181-50</f>
        <v>15300</v>
      </c>
      <c r="C3182" s="51">
        <v>69.849999999999994</v>
      </c>
      <c r="D3182" s="7">
        <v>64.3</v>
      </c>
      <c r="E3182" s="16"/>
      <c r="F3182" s="7">
        <f t="shared" si="263"/>
        <v>15235.7</v>
      </c>
      <c r="G3182" s="17">
        <v>64.8</v>
      </c>
      <c r="H3182" s="7">
        <v>74.7</v>
      </c>
      <c r="I3182" s="7">
        <v>65.7</v>
      </c>
      <c r="J3182" s="7">
        <v>57.6</v>
      </c>
      <c r="K3182" s="7"/>
      <c r="L3182" s="7">
        <v>59.8</v>
      </c>
      <c r="N3182" s="7">
        <v>53.25</v>
      </c>
      <c r="O3182" s="7"/>
      <c r="P3182" s="17"/>
      <c r="Q3182" s="7">
        <f>SUM(Q3178:Q3181)</f>
        <v>-1522.5000000000009</v>
      </c>
      <c r="R3182" s="166" t="str">
        <f>ROUND(((100/(SUM(R3178:R3180)*AVERAGE(S3178:S3180)))*Q3182),2)&amp;"%"</f>
        <v>-9.92%</v>
      </c>
      <c r="S3182" s="167" t="s">
        <v>137</v>
      </c>
      <c r="T3182" s="168">
        <f>(SUM(R3178:R3180)*AVERAGE(S3178:S3180))</f>
        <v>15352.5</v>
      </c>
      <c r="V3182" s="17"/>
      <c r="W3182" s="66">
        <v>6.1805555555555558E-2</v>
      </c>
      <c r="X3182" s="7">
        <v>40.25</v>
      </c>
      <c r="Y3182" s="7">
        <v>64.45</v>
      </c>
      <c r="Z3182" s="66">
        <v>6.1805555555555558E-2</v>
      </c>
    </row>
    <row r="3183" spans="2:26" x14ac:dyDescent="0.3">
      <c r="B3183" s="5">
        <f>B3182-50</f>
        <v>15250</v>
      </c>
      <c r="C3183" s="7">
        <v>54.95</v>
      </c>
      <c r="D3183" s="7">
        <v>50.95</v>
      </c>
      <c r="E3183" s="16"/>
      <c r="F3183" s="7">
        <f t="shared" si="263"/>
        <v>15199.05</v>
      </c>
      <c r="G3183" s="163">
        <v>51</v>
      </c>
      <c r="H3183" s="7">
        <v>59.25</v>
      </c>
      <c r="I3183" s="7">
        <v>51.55</v>
      </c>
      <c r="J3183" s="7">
        <v>44.95</v>
      </c>
      <c r="K3183" s="7"/>
      <c r="L3183" s="7">
        <v>46.4</v>
      </c>
      <c r="N3183" s="7">
        <v>41.45</v>
      </c>
      <c r="O3183" s="7"/>
      <c r="W3183" s="66">
        <v>8.2638888888888887E-2</v>
      </c>
      <c r="X3183" s="7">
        <v>48.4</v>
      </c>
      <c r="Y3183" s="7">
        <v>53.75</v>
      </c>
      <c r="Z3183" s="66">
        <v>8.2638888888888887E-2</v>
      </c>
    </row>
    <row r="3184" spans="2:26" x14ac:dyDescent="0.3">
      <c r="H3184" s="7"/>
      <c r="I3184" s="7"/>
      <c r="J3184" s="7"/>
      <c r="K3184" s="7"/>
      <c r="L3184" s="7"/>
      <c r="P3184" s="98">
        <f>Q3182</f>
        <v>-1522.5000000000009</v>
      </c>
      <c r="Q3184" s="92" t="s">
        <v>72</v>
      </c>
      <c r="R3184" s="17"/>
      <c r="T3184" s="92" t="s">
        <v>73</v>
      </c>
      <c r="U3184" s="7">
        <f>((X3176+Y3176)-(X3184+Y3184))</f>
        <v>-9.4000000000000057</v>
      </c>
      <c r="V3184" s="98">
        <f>U3184*150</f>
        <v>-1410.0000000000009</v>
      </c>
      <c r="W3184" s="66">
        <v>7.4305555555555555E-2</v>
      </c>
      <c r="X3184" s="7">
        <v>48.3</v>
      </c>
      <c r="Y3184" s="23">
        <v>75.400000000000006</v>
      </c>
      <c r="Z3184" s="66">
        <v>0.45902777777777781</v>
      </c>
    </row>
  </sheetData>
  <mergeCells count="368">
    <mergeCell ref="Q3065:T3065"/>
    <mergeCell ref="Q3074:T3074"/>
    <mergeCell ref="Q3099:T3099"/>
    <mergeCell ref="Q3108:T3108"/>
    <mergeCell ref="Q3133:T3133"/>
    <mergeCell ref="Q3142:T3142"/>
    <mergeCell ref="Q3167:T3167"/>
    <mergeCell ref="Q3176:R3176"/>
    <mergeCell ref="S3176:T3176"/>
    <mergeCell ref="Q2904:U2904"/>
    <mergeCell ref="Q2929:T2929"/>
    <mergeCell ref="Q2938:T2938"/>
    <mergeCell ref="Q2963:T2963"/>
    <mergeCell ref="Q2972:T2972"/>
    <mergeCell ref="Q2997:T2997"/>
    <mergeCell ref="Q3006:T3006"/>
    <mergeCell ref="Q3031:T3031"/>
    <mergeCell ref="Q3040:T3040"/>
    <mergeCell ref="Q2759:T2759"/>
    <mergeCell ref="Q2768:U2768"/>
    <mergeCell ref="Q2793:T2793"/>
    <mergeCell ref="Q2802:U2802"/>
    <mergeCell ref="Q2827:T2827"/>
    <mergeCell ref="Q2836:U2836"/>
    <mergeCell ref="Q2861:T2861"/>
    <mergeCell ref="Q2870:U2870"/>
    <mergeCell ref="Q2895:T2895"/>
    <mergeCell ref="R2656:S2656"/>
    <mergeCell ref="Q2657:T2657"/>
    <mergeCell ref="Q2666:U2666"/>
    <mergeCell ref="R2690:S2690"/>
    <mergeCell ref="Q2691:T2691"/>
    <mergeCell ref="Q2700:U2700"/>
    <mergeCell ref="Q2725:T2725"/>
    <mergeCell ref="Q2734:U2734"/>
    <mergeCell ref="R2758:S2758"/>
    <mergeCell ref="R2554:S2554"/>
    <mergeCell ref="Q2555:T2555"/>
    <mergeCell ref="Q2564:U2564"/>
    <mergeCell ref="R2588:S2588"/>
    <mergeCell ref="Q2589:T2589"/>
    <mergeCell ref="Q2598:U2598"/>
    <mergeCell ref="R2622:S2622"/>
    <mergeCell ref="Q2623:T2623"/>
    <mergeCell ref="Q2632:U2632"/>
    <mergeCell ref="Q2520:U2520"/>
    <mergeCell ref="Q2454:U2454"/>
    <mergeCell ref="Q2481:R2481"/>
    <mergeCell ref="S2481:T2481"/>
    <mergeCell ref="Q2487:U2487"/>
    <mergeCell ref="Q2514:R2514"/>
    <mergeCell ref="S2514:T2514"/>
    <mergeCell ref="Q2388:U2388"/>
    <mergeCell ref="Q2415:R2415"/>
    <mergeCell ref="S2415:T2415"/>
    <mergeCell ref="Q2421:U2421"/>
    <mergeCell ref="Q2448:R2448"/>
    <mergeCell ref="S2448:T2448"/>
    <mergeCell ref="Q2322:U2322"/>
    <mergeCell ref="Q2349:R2349"/>
    <mergeCell ref="S2349:T2349"/>
    <mergeCell ref="Q2355:U2355"/>
    <mergeCell ref="Q2382:R2382"/>
    <mergeCell ref="S2382:T2382"/>
    <mergeCell ref="Q2256:U2256"/>
    <mergeCell ref="Q2283:R2283"/>
    <mergeCell ref="S2283:T2283"/>
    <mergeCell ref="Q2289:U2289"/>
    <mergeCell ref="Q2316:R2316"/>
    <mergeCell ref="S2316:T2316"/>
    <mergeCell ref="Q2190:T2190"/>
    <mergeCell ref="Q2217:R2217"/>
    <mergeCell ref="S2217:T2217"/>
    <mergeCell ref="Q2223:T2223"/>
    <mergeCell ref="Q2250:R2250"/>
    <mergeCell ref="S2250:T2250"/>
    <mergeCell ref="Q2124:T2124"/>
    <mergeCell ref="Q2151:R2151"/>
    <mergeCell ref="S2151:T2151"/>
    <mergeCell ref="Q2157:T2157"/>
    <mergeCell ref="Q2184:R2184"/>
    <mergeCell ref="S2184:T2184"/>
    <mergeCell ref="Q2058:T2058"/>
    <mergeCell ref="Q2085:R2085"/>
    <mergeCell ref="S2085:T2085"/>
    <mergeCell ref="Q2091:T2091"/>
    <mergeCell ref="Q2118:R2118"/>
    <mergeCell ref="S2118:T2118"/>
    <mergeCell ref="Q1992:T1992"/>
    <mergeCell ref="Q2019:R2019"/>
    <mergeCell ref="S2019:T2019"/>
    <mergeCell ref="Q2025:T2025"/>
    <mergeCell ref="Q2052:R2052"/>
    <mergeCell ref="S2052:T2052"/>
    <mergeCell ref="Q1926:T1926"/>
    <mergeCell ref="Q1953:R1953"/>
    <mergeCell ref="S1953:T1953"/>
    <mergeCell ref="Q1959:T1959"/>
    <mergeCell ref="Q1986:R1986"/>
    <mergeCell ref="S1986:T1986"/>
    <mergeCell ref="Q1860:T1860"/>
    <mergeCell ref="Q1887:R1887"/>
    <mergeCell ref="S1887:T1887"/>
    <mergeCell ref="Q1893:T1893"/>
    <mergeCell ref="Q1920:R1920"/>
    <mergeCell ref="S1920:T1920"/>
    <mergeCell ref="Q1794:T1794"/>
    <mergeCell ref="Q1821:R1821"/>
    <mergeCell ref="S1821:T1821"/>
    <mergeCell ref="Q1827:T1827"/>
    <mergeCell ref="Q1854:R1854"/>
    <mergeCell ref="S1854:T1854"/>
    <mergeCell ref="Q1728:T1728"/>
    <mergeCell ref="Q1755:R1755"/>
    <mergeCell ref="S1755:T1755"/>
    <mergeCell ref="Q1761:T1761"/>
    <mergeCell ref="Q1788:R1788"/>
    <mergeCell ref="S1788:T1788"/>
    <mergeCell ref="Q1662:T1662"/>
    <mergeCell ref="Q1689:R1689"/>
    <mergeCell ref="S1689:T1689"/>
    <mergeCell ref="Q1695:T1695"/>
    <mergeCell ref="Q1722:R1722"/>
    <mergeCell ref="S1722:T1722"/>
    <mergeCell ref="Q1596:T1596"/>
    <mergeCell ref="Q1623:R1623"/>
    <mergeCell ref="S1623:T1623"/>
    <mergeCell ref="Q1629:T1629"/>
    <mergeCell ref="Q1656:R1656"/>
    <mergeCell ref="S1656:T1656"/>
    <mergeCell ref="Q1530:T1530"/>
    <mergeCell ref="I1557:K1557"/>
    <mergeCell ref="Q1557:R1557"/>
    <mergeCell ref="S1557:T1557"/>
    <mergeCell ref="Q1563:T1563"/>
    <mergeCell ref="Q1590:R1590"/>
    <mergeCell ref="S1590:T1590"/>
    <mergeCell ref="Q1464:T1464"/>
    <mergeCell ref="I1491:K1491"/>
    <mergeCell ref="Q1491:R1491"/>
    <mergeCell ref="S1491:T1491"/>
    <mergeCell ref="Q1497:T1497"/>
    <mergeCell ref="I1524:K1524"/>
    <mergeCell ref="Q1524:R1524"/>
    <mergeCell ref="S1524:T1524"/>
    <mergeCell ref="Q1398:T1398"/>
    <mergeCell ref="I1425:K1425"/>
    <mergeCell ref="Q1425:R1425"/>
    <mergeCell ref="S1425:T1425"/>
    <mergeCell ref="Q1431:T1431"/>
    <mergeCell ref="I1458:K1458"/>
    <mergeCell ref="Q1458:R1458"/>
    <mergeCell ref="S1458:T1458"/>
    <mergeCell ref="Q1332:T1332"/>
    <mergeCell ref="I1359:K1359"/>
    <mergeCell ref="Q1359:R1359"/>
    <mergeCell ref="S1359:T1359"/>
    <mergeCell ref="Q1365:T1365"/>
    <mergeCell ref="I1392:K1392"/>
    <mergeCell ref="Q1392:R1392"/>
    <mergeCell ref="S1392:T1392"/>
    <mergeCell ref="Q1266:T1266"/>
    <mergeCell ref="I1293:K1293"/>
    <mergeCell ref="Q1293:R1293"/>
    <mergeCell ref="S1293:T1293"/>
    <mergeCell ref="Q1299:T1299"/>
    <mergeCell ref="I1326:K1326"/>
    <mergeCell ref="Q1326:R1326"/>
    <mergeCell ref="S1326:T1326"/>
    <mergeCell ref="Q1232:R1232"/>
    <mergeCell ref="S1232:T1232"/>
    <mergeCell ref="Q1236:S1236"/>
    <mergeCell ref="Q1248:R1248"/>
    <mergeCell ref="I1260:K1260"/>
    <mergeCell ref="Q1260:R1260"/>
    <mergeCell ref="S1260:T1260"/>
    <mergeCell ref="I1194:K1194"/>
    <mergeCell ref="Q1199:R1199"/>
    <mergeCell ref="S1199:T1199"/>
    <mergeCell ref="Q1203:S1203"/>
    <mergeCell ref="Q1215:R1215"/>
    <mergeCell ref="I1227:K1227"/>
    <mergeCell ref="Q1149:R1149"/>
    <mergeCell ref="I1161:K1161"/>
    <mergeCell ref="Q1166:R1166"/>
    <mergeCell ref="S1166:T1166"/>
    <mergeCell ref="Q1170:S1170"/>
    <mergeCell ref="Q1182:R1182"/>
    <mergeCell ref="Q1104:S1104"/>
    <mergeCell ref="Q1116:R1116"/>
    <mergeCell ref="I1128:K1128"/>
    <mergeCell ref="Q1133:R1133"/>
    <mergeCell ref="S1133:T1133"/>
    <mergeCell ref="Q1137:S1137"/>
    <mergeCell ref="Q1067:R1067"/>
    <mergeCell ref="S1067:T1067"/>
    <mergeCell ref="Q1071:S1071"/>
    <mergeCell ref="Q1083:R1083"/>
    <mergeCell ref="I1095:K1095"/>
    <mergeCell ref="Q1100:R1100"/>
    <mergeCell ref="S1100:T1100"/>
    <mergeCell ref="I1029:K1029"/>
    <mergeCell ref="Q1034:R1034"/>
    <mergeCell ref="S1034:T1034"/>
    <mergeCell ref="Q1040:S1040"/>
    <mergeCell ref="Q1050:R1050"/>
    <mergeCell ref="I1062:K1062"/>
    <mergeCell ref="Q984:R984"/>
    <mergeCell ref="I996:K996"/>
    <mergeCell ref="Q1001:R1001"/>
    <mergeCell ref="S1001:T1001"/>
    <mergeCell ref="Q1007:S1007"/>
    <mergeCell ref="Q1017:R1017"/>
    <mergeCell ref="Q941:S941"/>
    <mergeCell ref="Q951:R951"/>
    <mergeCell ref="I963:K963"/>
    <mergeCell ref="Q968:R968"/>
    <mergeCell ref="S968:T968"/>
    <mergeCell ref="Q974:S974"/>
    <mergeCell ref="Q902:R902"/>
    <mergeCell ref="S902:T902"/>
    <mergeCell ref="Q908:S908"/>
    <mergeCell ref="Q918:R918"/>
    <mergeCell ref="I930:K930"/>
    <mergeCell ref="Q935:R935"/>
    <mergeCell ref="S935:T935"/>
    <mergeCell ref="Q869:R869"/>
    <mergeCell ref="S869:T869"/>
    <mergeCell ref="Q875:S875"/>
    <mergeCell ref="Q885:R885"/>
    <mergeCell ref="I897:K897"/>
    <mergeCell ref="J901:K901"/>
    <mergeCell ref="Q836:R836"/>
    <mergeCell ref="S836:T836"/>
    <mergeCell ref="Q842:S842"/>
    <mergeCell ref="Q852:R852"/>
    <mergeCell ref="I864:K864"/>
    <mergeCell ref="J868:K868"/>
    <mergeCell ref="I802:K802"/>
    <mergeCell ref="Q803:R803"/>
    <mergeCell ref="S803:T803"/>
    <mergeCell ref="Q809:S809"/>
    <mergeCell ref="Q819:R819"/>
    <mergeCell ref="I831:K831"/>
    <mergeCell ref="Q770:R770"/>
    <mergeCell ref="S770:T770"/>
    <mergeCell ref="Q776:S776"/>
    <mergeCell ref="Q786:R786"/>
    <mergeCell ref="I798:K798"/>
    <mergeCell ref="Q801:R801"/>
    <mergeCell ref="Q737:R737"/>
    <mergeCell ref="S737:T737"/>
    <mergeCell ref="Q743:S743"/>
    <mergeCell ref="Q753:R753"/>
    <mergeCell ref="I765:K765"/>
    <mergeCell ref="Q768:R768"/>
    <mergeCell ref="Q704:R704"/>
    <mergeCell ref="S704:T704"/>
    <mergeCell ref="Q710:S710"/>
    <mergeCell ref="Q720:R720"/>
    <mergeCell ref="I732:K732"/>
    <mergeCell ref="Q735:R735"/>
    <mergeCell ref="I666:K666"/>
    <mergeCell ref="Q671:R671"/>
    <mergeCell ref="S671:T671"/>
    <mergeCell ref="Q677:S677"/>
    <mergeCell ref="Q687:R687"/>
    <mergeCell ref="I699:K699"/>
    <mergeCell ref="Q621:R621"/>
    <mergeCell ref="I633:K633"/>
    <mergeCell ref="Q638:R638"/>
    <mergeCell ref="S638:T638"/>
    <mergeCell ref="Q644:S644"/>
    <mergeCell ref="Q654:R654"/>
    <mergeCell ref="Q578:S578"/>
    <mergeCell ref="Q588:R588"/>
    <mergeCell ref="I600:K600"/>
    <mergeCell ref="Q605:R605"/>
    <mergeCell ref="S605:T605"/>
    <mergeCell ref="Q611:S611"/>
    <mergeCell ref="Q539:R539"/>
    <mergeCell ref="S539:T539"/>
    <mergeCell ref="Q545:S545"/>
    <mergeCell ref="Q555:R555"/>
    <mergeCell ref="I567:K567"/>
    <mergeCell ref="Q572:R572"/>
    <mergeCell ref="S572:T572"/>
    <mergeCell ref="I501:K501"/>
    <mergeCell ref="Q506:R506"/>
    <mergeCell ref="S506:T506"/>
    <mergeCell ref="Q512:S512"/>
    <mergeCell ref="Q522:R522"/>
    <mergeCell ref="I534:K534"/>
    <mergeCell ref="Q456:R456"/>
    <mergeCell ref="I468:K468"/>
    <mergeCell ref="Q473:R473"/>
    <mergeCell ref="S473:T473"/>
    <mergeCell ref="Q479:S479"/>
    <mergeCell ref="Q489:R489"/>
    <mergeCell ref="Q413:S413"/>
    <mergeCell ref="Q423:R423"/>
    <mergeCell ref="I435:K435"/>
    <mergeCell ref="Q440:R440"/>
    <mergeCell ref="S440:T440"/>
    <mergeCell ref="Q446:S446"/>
    <mergeCell ref="Q374:R374"/>
    <mergeCell ref="S374:T374"/>
    <mergeCell ref="Q380:S380"/>
    <mergeCell ref="Q390:R390"/>
    <mergeCell ref="I402:K402"/>
    <mergeCell ref="Q407:R407"/>
    <mergeCell ref="S407:T407"/>
    <mergeCell ref="I336:K336"/>
    <mergeCell ref="Q341:R341"/>
    <mergeCell ref="S341:T341"/>
    <mergeCell ref="Q347:S347"/>
    <mergeCell ref="Q357:R357"/>
    <mergeCell ref="I369:K369"/>
    <mergeCell ref="Q291:R291"/>
    <mergeCell ref="I303:K303"/>
    <mergeCell ref="Q308:R308"/>
    <mergeCell ref="S308:T308"/>
    <mergeCell ref="Q314:S314"/>
    <mergeCell ref="Q324:R324"/>
    <mergeCell ref="Q248:S248"/>
    <mergeCell ref="Q258:R258"/>
    <mergeCell ref="I270:K270"/>
    <mergeCell ref="Q275:R275"/>
    <mergeCell ref="S275:T275"/>
    <mergeCell ref="Q281:S281"/>
    <mergeCell ref="Q209:R209"/>
    <mergeCell ref="S209:T209"/>
    <mergeCell ref="Q215:S215"/>
    <mergeCell ref="Q225:R225"/>
    <mergeCell ref="I237:K237"/>
    <mergeCell ref="Q242:R242"/>
    <mergeCell ref="S242:T242"/>
    <mergeCell ref="I171:K171"/>
    <mergeCell ref="Q176:R176"/>
    <mergeCell ref="S176:T176"/>
    <mergeCell ref="Q182:S182"/>
    <mergeCell ref="Q192:R192"/>
    <mergeCell ref="I204:K204"/>
    <mergeCell ref="Q126:R126"/>
    <mergeCell ref="I138:K138"/>
    <mergeCell ref="Q143:R143"/>
    <mergeCell ref="S143:T143"/>
    <mergeCell ref="Q149:S149"/>
    <mergeCell ref="Q159:R159"/>
    <mergeCell ref="Q110:R110"/>
    <mergeCell ref="S110:T110"/>
    <mergeCell ref="Q116:S116"/>
    <mergeCell ref="Q44:R44"/>
    <mergeCell ref="S44:T44"/>
    <mergeCell ref="Q50:S50"/>
    <mergeCell ref="Q60:R60"/>
    <mergeCell ref="I72:K72"/>
    <mergeCell ref="Q77:R77"/>
    <mergeCell ref="S77:T77"/>
    <mergeCell ref="I6:K6"/>
    <mergeCell ref="Q11:R11"/>
    <mergeCell ref="S11:T11"/>
    <mergeCell ref="Q17:S17"/>
    <mergeCell ref="Q27:R27"/>
    <mergeCell ref="I39:K39"/>
    <mergeCell ref="Q83:S83"/>
    <mergeCell ref="Q93:R93"/>
    <mergeCell ref="I105:K10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bigasa</vt:lpstr>
      <vt:lpstr>PLAN STD</vt:lpstr>
      <vt:lpstr>PLAN OPTINT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2021-06-17T02:52:28Z</dcterms:modified>
</cp:coreProperties>
</file>